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ZNA\Users\Public\Public\2023\ФІНПЛАНИ\2023\ЗВІТ за півріччя  2023\"/>
    </mc:Choice>
  </mc:AlternateContent>
  <bookViews>
    <workbookView xWindow="0" yWindow="0" windowWidth="28800" windowHeight="12300" tabRatio="838" activeTab="2"/>
  </bookViews>
  <sheets>
    <sheet name="Звіт про виконання показ фінпла" sheetId="14" r:id="rId1"/>
    <sheet name="Розшифровка 1 до Формування" sheetId="22" r:id="rId2"/>
    <sheet name="Розшифровка 2 до формування" sheetId="26" r:id="rId3"/>
    <sheet name="Розшифровка кап" sheetId="24" r:id="rId4"/>
    <sheet name="Розшифровка за джерелами" sheetId="9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'Звіт про виконання показ фінпла'!$4:$6</definedName>
    <definedName name="_xlnm.Print_Titles" localSheetId="1">'Розшифровка 1 до Формування'!$4:$5</definedName>
    <definedName name="_xlnm.Print_Titles" localSheetId="2">'Розшифровка 2 до формування'!$4:$5</definedName>
    <definedName name="_xlnm.Print_Titles" localSheetId="4">'Розшифровка за джерелами'!$4:$5</definedName>
    <definedName name="_xlnm.Print_Titles" localSheetId="3">'Розшифровка кап'!$3:$4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'Звіт про виконання показ фінпла'!$A$1:$H$100</definedName>
    <definedName name="_xlnm.Print_Area" localSheetId="1">'Розшифровка 1 до Формування'!$A$1:$H$108</definedName>
    <definedName name="_xlnm.Print_Area" localSheetId="2">'Розшифровка 2 до формування'!$A$1:$H$325</definedName>
    <definedName name="_xlnm.Print_Area" localSheetId="4">'Розшифровка за джерелами'!$A$1:$P$67</definedName>
    <definedName name="_xlnm.Print_Area" localSheetId="3">'Розшифровка кап'!$A$1:$G$78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79021"/>
</workbook>
</file>

<file path=xl/calcChain.xml><?xml version="1.0" encoding="utf-8"?>
<calcChain xmlns="http://schemas.openxmlformats.org/spreadsheetml/2006/main">
  <c r="E93" i="14" l="1"/>
  <c r="G75" i="24"/>
  <c r="F75" i="24"/>
  <c r="G73" i="24"/>
  <c r="F73" i="24"/>
  <c r="G72" i="24"/>
  <c r="F72" i="24"/>
  <c r="G71" i="24"/>
  <c r="F71" i="24"/>
  <c r="G70" i="24"/>
  <c r="F70" i="24"/>
  <c r="G69" i="24"/>
  <c r="F69" i="24"/>
  <c r="G68" i="24"/>
  <c r="F68" i="24"/>
  <c r="G67" i="24"/>
  <c r="F67" i="24"/>
  <c r="G66" i="24"/>
  <c r="F66" i="24"/>
  <c r="G65" i="24"/>
  <c r="F65" i="24"/>
  <c r="G64" i="24"/>
  <c r="F64" i="24"/>
  <c r="G63" i="24"/>
  <c r="F63" i="24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G39" i="24"/>
  <c r="F39" i="24"/>
  <c r="G38" i="24"/>
  <c r="F38" i="24"/>
  <c r="G37" i="24"/>
  <c r="F37" i="24"/>
  <c r="G36" i="24"/>
  <c r="F36" i="24"/>
  <c r="G35" i="24"/>
  <c r="F35" i="24"/>
  <c r="G34" i="24"/>
  <c r="F34" i="24"/>
  <c r="G33" i="24"/>
  <c r="F33" i="24"/>
  <c r="G32" i="24"/>
  <c r="F32" i="24"/>
  <c r="G31" i="24"/>
  <c r="F31" i="24"/>
  <c r="G30" i="24"/>
  <c r="F30" i="24"/>
  <c r="G29" i="24"/>
  <c r="F29" i="24"/>
  <c r="G28" i="24"/>
  <c r="F28" i="24"/>
  <c r="G27" i="24"/>
  <c r="F27" i="24"/>
  <c r="G26" i="24"/>
  <c r="F26" i="24"/>
  <c r="G24" i="24"/>
  <c r="F24" i="24"/>
  <c r="G23" i="24"/>
  <c r="F23" i="24"/>
  <c r="G22" i="24"/>
  <c r="F22" i="24"/>
  <c r="G21" i="24"/>
  <c r="F21" i="24"/>
  <c r="G20" i="24"/>
  <c r="F20" i="24"/>
  <c r="G19" i="24"/>
  <c r="F19" i="24"/>
  <c r="G18" i="24"/>
  <c r="F18" i="24"/>
  <c r="G17" i="24"/>
  <c r="F17" i="24"/>
  <c r="G16" i="24"/>
  <c r="F16" i="24"/>
  <c r="G15" i="24"/>
  <c r="F15" i="24"/>
  <c r="G14" i="24"/>
  <c r="F14" i="24"/>
  <c r="G13" i="24"/>
  <c r="F13" i="24"/>
  <c r="G12" i="24"/>
  <c r="F12" i="24"/>
  <c r="G11" i="24"/>
  <c r="F11" i="24"/>
  <c r="G10" i="24"/>
  <c r="F10" i="24"/>
  <c r="G9" i="24"/>
  <c r="F9" i="24"/>
  <c r="G8" i="24"/>
  <c r="F8" i="24"/>
  <c r="H91" i="22"/>
  <c r="G91" i="22"/>
  <c r="H90" i="22"/>
  <c r="G90" i="22"/>
  <c r="H89" i="22"/>
  <c r="G89" i="22"/>
  <c r="F53" i="14"/>
  <c r="O58" i="9"/>
  <c r="N59" i="9"/>
  <c r="O59" i="9" s="1"/>
  <c r="M59" i="9"/>
  <c r="P59" i="9" s="1"/>
  <c r="L59" i="9"/>
  <c r="L58" i="9" s="1"/>
  <c r="N58" i="9"/>
  <c r="P58" i="9" s="1"/>
  <c r="K58" i="9"/>
  <c r="J58" i="9"/>
  <c r="I58" i="9"/>
  <c r="H58" i="9"/>
  <c r="G58" i="9"/>
  <c r="F58" i="9"/>
  <c r="E58" i="9"/>
  <c r="H28" i="14" l="1"/>
  <c r="G28" i="14"/>
  <c r="H27" i="14"/>
  <c r="G27" i="14"/>
  <c r="O48" i="9"/>
  <c r="J18" i="9"/>
  <c r="L18" i="9"/>
  <c r="N57" i="9"/>
  <c r="P57" i="9" s="1"/>
  <c r="N56" i="9"/>
  <c r="O56" i="9" s="1"/>
  <c r="N55" i="9"/>
  <c r="P55" i="9" s="1"/>
  <c r="N54" i="9"/>
  <c r="P54" i="9" s="1"/>
  <c r="N53" i="9"/>
  <c r="O53" i="9" s="1"/>
  <c r="N52" i="9"/>
  <c r="P52" i="9" s="1"/>
  <c r="N51" i="9"/>
  <c r="P51" i="9" s="1"/>
  <c r="N50" i="9"/>
  <c r="O50" i="9" s="1"/>
  <c r="N49" i="9"/>
  <c r="P49" i="9" s="1"/>
  <c r="N48" i="9"/>
  <c r="P48" i="9" s="1"/>
  <c r="N47" i="9"/>
  <c r="O47" i="9" s="1"/>
  <c r="N46" i="9"/>
  <c r="P46" i="9" s="1"/>
  <c r="N45" i="9"/>
  <c r="P45" i="9" s="1"/>
  <c r="N44" i="9"/>
  <c r="O44" i="9" s="1"/>
  <c r="N43" i="9"/>
  <c r="P43" i="9" s="1"/>
  <c r="N42" i="9"/>
  <c r="P42" i="9" s="1"/>
  <c r="N41" i="9"/>
  <c r="N40" i="9"/>
  <c r="P40" i="9" s="1"/>
  <c r="N39" i="9"/>
  <c r="P39" i="9" s="1"/>
  <c r="N38" i="9"/>
  <c r="O38" i="9" s="1"/>
  <c r="N37" i="9"/>
  <c r="P37" i="9" s="1"/>
  <c r="N36" i="9"/>
  <c r="P36" i="9" s="1"/>
  <c r="N35" i="9"/>
  <c r="O35" i="9" s="1"/>
  <c r="N34" i="9"/>
  <c r="P34" i="9" s="1"/>
  <c r="N33" i="9"/>
  <c r="P33" i="9" s="1"/>
  <c r="N32" i="9"/>
  <c r="O32" i="9" s="1"/>
  <c r="N31" i="9"/>
  <c r="P31" i="9" s="1"/>
  <c r="N30" i="9"/>
  <c r="P30" i="9" s="1"/>
  <c r="N29" i="9"/>
  <c r="O29" i="9" s="1"/>
  <c r="N28" i="9"/>
  <c r="P28" i="9" s="1"/>
  <c r="N27" i="9"/>
  <c r="P27" i="9" s="1"/>
  <c r="N26" i="9"/>
  <c r="O26" i="9" s="1"/>
  <c r="N25" i="9"/>
  <c r="P25" i="9" s="1"/>
  <c r="N24" i="9"/>
  <c r="P24" i="9" s="1"/>
  <c r="N23" i="9"/>
  <c r="O23" i="9" s="1"/>
  <c r="N22" i="9"/>
  <c r="P22" i="9" s="1"/>
  <c r="N21" i="9"/>
  <c r="P21" i="9" s="1"/>
  <c r="N20" i="9"/>
  <c r="O20" i="9" s="1"/>
  <c r="N19" i="9"/>
  <c r="P19" i="9" s="1"/>
  <c r="N17" i="9"/>
  <c r="O17" i="9" s="1"/>
  <c r="N16" i="9"/>
  <c r="P16" i="9" s="1"/>
  <c r="N15" i="9"/>
  <c r="P15" i="9" s="1"/>
  <c r="N14" i="9"/>
  <c r="O14" i="9" s="1"/>
  <c r="N13" i="9"/>
  <c r="P13" i="9" s="1"/>
  <c r="N12" i="9"/>
  <c r="P12" i="9" s="1"/>
  <c r="N11" i="9"/>
  <c r="O11" i="9" s="1"/>
  <c r="N10" i="9"/>
  <c r="P10" i="9" s="1"/>
  <c r="N9" i="9"/>
  <c r="O9" i="9" s="1"/>
  <c r="N8" i="9"/>
  <c r="O39" i="9" l="1"/>
  <c r="O57" i="9"/>
  <c r="P11" i="9"/>
  <c r="O21" i="9"/>
  <c r="O30" i="9"/>
  <c r="O13" i="9"/>
  <c r="P23" i="9"/>
  <c r="P32" i="9"/>
  <c r="P50" i="9"/>
  <c r="P14" i="9"/>
  <c r="O24" i="9"/>
  <c r="O33" i="9"/>
  <c r="O42" i="9"/>
  <c r="O51" i="9"/>
  <c r="O16" i="9"/>
  <c r="P26" i="9"/>
  <c r="P35" i="9"/>
  <c r="P44" i="9"/>
  <c r="P53" i="9"/>
  <c r="P9" i="9"/>
  <c r="P17" i="9"/>
  <c r="O27" i="9"/>
  <c r="O36" i="9"/>
  <c r="O45" i="9"/>
  <c r="O54" i="9"/>
  <c r="O10" i="9"/>
  <c r="P20" i="9"/>
  <c r="P29" i="9"/>
  <c r="P38" i="9"/>
  <c r="P47" i="9"/>
  <c r="P56" i="9"/>
  <c r="O19" i="9"/>
  <c r="O22" i="9"/>
  <c r="O25" i="9"/>
  <c r="O28" i="9"/>
  <c r="O31" i="9"/>
  <c r="O34" i="9"/>
  <c r="O37" i="9"/>
  <c r="O40" i="9"/>
  <c r="O43" i="9"/>
  <c r="O46" i="9"/>
  <c r="O49" i="9"/>
  <c r="O52" i="9"/>
  <c r="O55" i="9"/>
  <c r="O12" i="9"/>
  <c r="O15" i="9"/>
  <c r="E94" i="22"/>
  <c r="F83" i="22"/>
  <c r="F81" i="22"/>
  <c r="F80" i="22"/>
  <c r="E80" i="22"/>
  <c r="F79" i="22"/>
  <c r="F77" i="22"/>
  <c r="F76" i="22"/>
  <c r="E76" i="22"/>
  <c r="F75" i="22"/>
  <c r="E75" i="22"/>
  <c r="E64" i="22"/>
  <c r="E63" i="22"/>
  <c r="E62" i="22"/>
  <c r="E61" i="22"/>
  <c r="E60" i="22"/>
  <c r="E58" i="22"/>
  <c r="E57" i="22"/>
  <c r="E56" i="22"/>
  <c r="E55" i="22"/>
  <c r="E54" i="22"/>
  <c r="E53" i="22"/>
  <c r="E52" i="22"/>
  <c r="E51" i="22"/>
  <c r="E50" i="22"/>
  <c r="E49" i="22"/>
  <c r="E48" i="22"/>
  <c r="E45" i="22"/>
  <c r="E44" i="22"/>
  <c r="D66" i="14" l="1"/>
  <c r="F11" i="26" l="1"/>
  <c r="F257" i="26"/>
  <c r="F224" i="26" l="1"/>
  <c r="F221" i="26"/>
  <c r="F220" i="26"/>
  <c r="L28" i="26" l="1"/>
  <c r="L23" i="26"/>
  <c r="K28" i="26"/>
  <c r="K23" i="26"/>
  <c r="M14" i="26"/>
  <c r="K14" i="26"/>
  <c r="K9" i="26"/>
  <c r="F13" i="22" l="1"/>
  <c r="F7" i="22"/>
  <c r="M33" i="26"/>
  <c r="L33" i="26"/>
  <c r="L32" i="26"/>
  <c r="L31" i="26"/>
  <c r="K34" i="26"/>
  <c r="K35" i="26" s="1"/>
  <c r="K33" i="26"/>
  <c r="K32" i="26"/>
  <c r="K31" i="26"/>
  <c r="K30" i="26"/>
  <c r="K7" i="26"/>
  <c r="M26" i="26"/>
  <c r="L26" i="26"/>
  <c r="M25" i="26"/>
  <c r="L25" i="26"/>
  <c r="K26" i="26"/>
  <c r="K25" i="26"/>
  <c r="D6" i="26" l="1"/>
  <c r="M20" i="26"/>
  <c r="L20" i="26"/>
  <c r="M19" i="26"/>
  <c r="L19" i="26"/>
  <c r="M18" i="26"/>
  <c r="L18" i="26"/>
  <c r="M17" i="26"/>
  <c r="L17" i="26"/>
  <c r="K21" i="26"/>
  <c r="K20" i="26"/>
  <c r="K19" i="26"/>
  <c r="K18" i="26"/>
  <c r="K17" i="26"/>
  <c r="K16" i="26"/>
  <c r="M13" i="26" l="1"/>
  <c r="L13" i="26"/>
  <c r="M12" i="26"/>
  <c r="M32" i="26" s="1"/>
  <c r="L12" i="26"/>
  <c r="M11" i="26"/>
  <c r="M31" i="26" s="1"/>
  <c r="L11" i="26"/>
  <c r="K11" i="26"/>
  <c r="K13" i="26"/>
  <c r="K12" i="26"/>
  <c r="K10" i="26"/>
  <c r="H209" i="26"/>
  <c r="G209" i="26"/>
  <c r="H208" i="26"/>
  <c r="G208" i="26"/>
  <c r="F55" i="26"/>
  <c r="F8" i="22" l="1"/>
  <c r="F83" i="14" l="1"/>
  <c r="F84" i="14"/>
  <c r="F86" i="14"/>
  <c r="C96" i="14" l="1"/>
  <c r="C94" i="14"/>
  <c r="D90" i="14" l="1"/>
  <c r="D94" i="14" s="1"/>
  <c r="F60" i="14"/>
  <c r="F67" i="14" l="1"/>
  <c r="F93" i="22" l="1"/>
  <c r="G87" i="22"/>
  <c r="H87" i="22"/>
  <c r="G88" i="22"/>
  <c r="H88" i="22"/>
  <c r="F73" i="22" l="1"/>
  <c r="F70" i="22" s="1"/>
  <c r="F41" i="22"/>
  <c r="F261" i="26"/>
  <c r="F211" i="26" l="1"/>
  <c r="F203" i="26"/>
  <c r="F28" i="26"/>
  <c r="F231" i="26" l="1"/>
  <c r="E235" i="26"/>
  <c r="E234" i="26" s="1"/>
  <c r="E232" i="26" s="1"/>
  <c r="F235" i="26"/>
  <c r="D235" i="26"/>
  <c r="D234" i="26" s="1"/>
  <c r="D232" i="26" s="1"/>
  <c r="D231" i="26"/>
  <c r="D230" i="26"/>
  <c r="D229" i="26"/>
  <c r="F195" i="26"/>
  <c r="F199" i="26"/>
  <c r="F197" i="26"/>
  <c r="F234" i="26" l="1"/>
  <c r="M28" i="26"/>
  <c r="F44" i="26"/>
  <c r="F45" i="26"/>
  <c r="F232" i="26" l="1"/>
  <c r="M23" i="26"/>
  <c r="F111" i="26"/>
  <c r="F110" i="26" s="1"/>
  <c r="F25" i="26" l="1"/>
  <c r="F33" i="26" l="1"/>
  <c r="F14" i="26"/>
  <c r="F304" i="26" l="1"/>
  <c r="F242" i="26"/>
  <c r="F305" i="26" l="1"/>
  <c r="F295" i="26"/>
  <c r="F283" i="26" s="1"/>
  <c r="F280" i="26"/>
  <c r="F281" i="26"/>
  <c r="F208" i="26" l="1"/>
  <c r="F29" i="26" l="1"/>
  <c r="F15" i="26"/>
  <c r="F10" i="26" s="1"/>
  <c r="E18" i="9" l="1"/>
  <c r="F18" i="9"/>
  <c r="G18" i="9"/>
  <c r="H18" i="9"/>
  <c r="I18" i="9"/>
  <c r="K18" i="9"/>
  <c r="E7" i="9"/>
  <c r="F7" i="9"/>
  <c r="G7" i="9"/>
  <c r="H7" i="9"/>
  <c r="H60" i="9" s="1"/>
  <c r="I7" i="9"/>
  <c r="J7" i="9"/>
  <c r="J60" i="9" s="1"/>
  <c r="K7" i="9"/>
  <c r="L7" i="9"/>
  <c r="L60" i="9" s="1"/>
  <c r="N18" i="9" l="1"/>
  <c r="E25" i="24"/>
  <c r="E6" i="24"/>
  <c r="C25" i="24" l="1"/>
  <c r="C6" i="24"/>
  <c r="D261" i="26" l="1"/>
  <c r="D188" i="26"/>
  <c r="D187" i="26" s="1"/>
  <c r="D183" i="26"/>
  <c r="D130" i="26"/>
  <c r="D51" i="26"/>
  <c r="D50" i="26" s="1"/>
  <c r="C22" i="14"/>
  <c r="E55" i="14"/>
  <c r="E72" i="22" l="1"/>
  <c r="E41" i="22"/>
  <c r="E39" i="22"/>
  <c r="E38" i="22"/>
  <c r="E74" i="22" l="1"/>
  <c r="M5" i="9" l="1"/>
  <c r="N5" i="9"/>
  <c r="G67" i="14" l="1"/>
  <c r="G65" i="14"/>
  <c r="G63" i="14"/>
  <c r="G62" i="14"/>
  <c r="G61" i="14"/>
  <c r="G60" i="14"/>
  <c r="G58" i="14"/>
  <c r="G56" i="14"/>
  <c r="G54" i="14"/>
  <c r="G53" i="14"/>
  <c r="H77" i="14"/>
  <c r="G77" i="14"/>
  <c r="H76" i="14"/>
  <c r="G76" i="14"/>
  <c r="H75" i="14"/>
  <c r="G75" i="14"/>
  <c r="H74" i="14"/>
  <c r="G74" i="14"/>
  <c r="H103" i="22"/>
  <c r="G103" i="22"/>
  <c r="H102" i="22"/>
  <c r="G102" i="22"/>
  <c r="H100" i="22"/>
  <c r="G100" i="22"/>
  <c r="H99" i="22"/>
  <c r="G99" i="22"/>
  <c r="H98" i="22"/>
  <c r="G98" i="22"/>
  <c r="G7" i="24"/>
  <c r="F7" i="24"/>
  <c r="H272" i="26" l="1"/>
  <c r="G272" i="26"/>
  <c r="F271" i="26"/>
  <c r="G271" i="26" s="1"/>
  <c r="D271" i="26"/>
  <c r="E268" i="26"/>
  <c r="F218" i="26"/>
  <c r="D270" i="26" l="1"/>
  <c r="D268" i="26" s="1"/>
  <c r="F270" i="26"/>
  <c r="G270" i="26" s="1"/>
  <c r="H271" i="26"/>
  <c r="H27" i="22"/>
  <c r="G27" i="22"/>
  <c r="H26" i="22"/>
  <c r="G26" i="22"/>
  <c r="H25" i="22"/>
  <c r="G25" i="22"/>
  <c r="H24" i="22"/>
  <c r="G24" i="22"/>
  <c r="H23" i="22"/>
  <c r="H21" i="22"/>
  <c r="G21" i="22"/>
  <c r="H18" i="22"/>
  <c r="G18" i="22"/>
  <c r="H17" i="22"/>
  <c r="G17" i="22"/>
  <c r="H16" i="22"/>
  <c r="G16" i="22"/>
  <c r="H15" i="22"/>
  <c r="G15" i="22"/>
  <c r="H14" i="22"/>
  <c r="G14" i="22"/>
  <c r="H12" i="22"/>
  <c r="G12" i="22"/>
  <c r="H11" i="22"/>
  <c r="G11" i="22"/>
  <c r="H10" i="22"/>
  <c r="G10" i="22"/>
  <c r="H9" i="22"/>
  <c r="G9" i="22"/>
  <c r="H206" i="26"/>
  <c r="G205" i="26"/>
  <c r="H204" i="26"/>
  <c r="H323" i="26"/>
  <c r="H196" i="26"/>
  <c r="G323" i="26"/>
  <c r="H320" i="26"/>
  <c r="G320" i="26"/>
  <c r="H317" i="26"/>
  <c r="H315" i="26"/>
  <c r="G315" i="26"/>
  <c r="H314" i="26"/>
  <c r="G314" i="26"/>
  <c r="H311" i="26"/>
  <c r="G311" i="26"/>
  <c r="H310" i="26"/>
  <c r="G310" i="26"/>
  <c r="H307" i="26"/>
  <c r="G307" i="26"/>
  <c r="H306" i="26"/>
  <c r="G306" i="26"/>
  <c r="H305" i="26"/>
  <c r="G305" i="26"/>
  <c r="H304" i="26"/>
  <c r="G304" i="26"/>
  <c r="H303" i="26"/>
  <c r="G303" i="26"/>
  <c r="H302" i="26"/>
  <c r="G302" i="26"/>
  <c r="H300" i="26"/>
  <c r="G300" i="26"/>
  <c r="H299" i="26"/>
  <c r="G299" i="26"/>
  <c r="H296" i="26"/>
  <c r="G296" i="26"/>
  <c r="H295" i="26"/>
  <c r="G295" i="26"/>
  <c r="H289" i="26"/>
  <c r="G289" i="26"/>
  <c r="H287" i="26"/>
  <c r="G287" i="26"/>
  <c r="H286" i="26"/>
  <c r="G286" i="26"/>
  <c r="H285" i="26"/>
  <c r="G285" i="26"/>
  <c r="H284" i="26"/>
  <c r="G284" i="26"/>
  <c r="H282" i="26"/>
  <c r="G282" i="26"/>
  <c r="H281" i="26"/>
  <c r="G281" i="26"/>
  <c r="H280" i="26"/>
  <c r="G280" i="26"/>
  <c r="H279" i="26"/>
  <c r="G279" i="26"/>
  <c r="H278" i="26"/>
  <c r="G278" i="26"/>
  <c r="H277" i="26"/>
  <c r="G277" i="26"/>
  <c r="H267" i="26"/>
  <c r="G267" i="26"/>
  <c r="H265" i="26"/>
  <c r="G265" i="26"/>
  <c r="H263" i="26"/>
  <c r="G263" i="26"/>
  <c r="H260" i="26"/>
  <c r="G260" i="26"/>
  <c r="H258" i="26"/>
  <c r="G258" i="26"/>
  <c r="H257" i="26"/>
  <c r="G257" i="26"/>
  <c r="H252" i="26"/>
  <c r="G252" i="26"/>
  <c r="H249" i="26"/>
  <c r="G249" i="26"/>
  <c r="H247" i="26"/>
  <c r="G247" i="26"/>
  <c r="H243" i="26"/>
  <c r="G243" i="26"/>
  <c r="H230" i="26"/>
  <c r="G230" i="26"/>
  <c r="H229" i="26"/>
  <c r="G229" i="26"/>
  <c r="H226" i="26"/>
  <c r="H219" i="26"/>
  <c r="G219" i="26"/>
  <c r="H214" i="26"/>
  <c r="G214" i="26"/>
  <c r="H213" i="26"/>
  <c r="G213" i="26"/>
  <c r="H212" i="26"/>
  <c r="G212" i="26"/>
  <c r="H211" i="26"/>
  <c r="G211" i="26"/>
  <c r="G206" i="26"/>
  <c r="H205" i="26"/>
  <c r="G204" i="26"/>
  <c r="H203" i="26"/>
  <c r="G203" i="26"/>
  <c r="H201" i="26"/>
  <c r="G201" i="26"/>
  <c r="H200" i="26"/>
  <c r="G200" i="26"/>
  <c r="H199" i="26"/>
  <c r="G199" i="26"/>
  <c r="H198" i="26"/>
  <c r="G198" i="26"/>
  <c r="H197" i="26"/>
  <c r="G197" i="26"/>
  <c r="G196" i="26"/>
  <c r="H195" i="26"/>
  <c r="G195" i="26"/>
  <c r="H194" i="26"/>
  <c r="G194" i="26"/>
  <c r="H191" i="26"/>
  <c r="G191" i="26"/>
  <c r="H186" i="26"/>
  <c r="G186" i="26"/>
  <c r="H185" i="26"/>
  <c r="G185" i="26"/>
  <c r="H182" i="26"/>
  <c r="G182" i="26"/>
  <c r="H181" i="26"/>
  <c r="G181" i="26"/>
  <c r="H176" i="26"/>
  <c r="G176" i="26"/>
  <c r="H175" i="26"/>
  <c r="G175" i="26"/>
  <c r="H174" i="26"/>
  <c r="G174" i="26"/>
  <c r="H173" i="26"/>
  <c r="G173" i="26"/>
  <c r="H171" i="26"/>
  <c r="G171" i="26"/>
  <c r="H170" i="26"/>
  <c r="G170" i="26"/>
  <c r="H169" i="26"/>
  <c r="G169" i="26"/>
  <c r="H168" i="26"/>
  <c r="G168" i="26"/>
  <c r="H167" i="26"/>
  <c r="G167" i="26"/>
  <c r="H162" i="26"/>
  <c r="G162" i="26"/>
  <c r="H159" i="26"/>
  <c r="G159" i="26"/>
  <c r="H157" i="26"/>
  <c r="G157" i="26"/>
  <c r="H156" i="26"/>
  <c r="G156" i="26"/>
  <c r="H155" i="26"/>
  <c r="G155" i="26"/>
  <c r="H153" i="26"/>
  <c r="G153" i="26"/>
  <c r="H152" i="26"/>
  <c r="G152" i="26"/>
  <c r="H149" i="26"/>
  <c r="G149" i="26"/>
  <c r="H148" i="26"/>
  <c r="G148" i="26"/>
  <c r="H147" i="26"/>
  <c r="G147" i="26"/>
  <c r="H145" i="26"/>
  <c r="G145" i="26"/>
  <c r="H144" i="26"/>
  <c r="G144" i="26"/>
  <c r="H143" i="26"/>
  <c r="G143" i="26"/>
  <c r="H142" i="26"/>
  <c r="G142" i="26"/>
  <c r="H141" i="26"/>
  <c r="G141" i="26"/>
  <c r="H140" i="26"/>
  <c r="G140" i="26"/>
  <c r="H138" i="26"/>
  <c r="G138" i="26"/>
  <c r="H137" i="26"/>
  <c r="G137" i="26"/>
  <c r="H136" i="26"/>
  <c r="G136" i="26"/>
  <c r="H126" i="26"/>
  <c r="G126" i="26"/>
  <c r="H125" i="26"/>
  <c r="G125" i="26"/>
  <c r="H123" i="26"/>
  <c r="G123" i="26"/>
  <c r="H122" i="26"/>
  <c r="G122" i="26"/>
  <c r="H121" i="26"/>
  <c r="G121" i="26"/>
  <c r="H120" i="26"/>
  <c r="G120" i="26"/>
  <c r="H119" i="26"/>
  <c r="G119" i="26"/>
  <c r="H114" i="26"/>
  <c r="G114" i="26"/>
  <c r="H112" i="26"/>
  <c r="G112" i="26"/>
  <c r="H109" i="26"/>
  <c r="G109" i="26"/>
  <c r="H108" i="26"/>
  <c r="G108" i="26"/>
  <c r="H107" i="26"/>
  <c r="G107" i="26"/>
  <c r="H106" i="26"/>
  <c r="G106" i="26"/>
  <c r="H103" i="26"/>
  <c r="G103" i="26"/>
  <c r="H102" i="26"/>
  <c r="G102" i="26"/>
  <c r="H101" i="26"/>
  <c r="G101" i="26"/>
  <c r="H99" i="26"/>
  <c r="G99" i="26"/>
  <c r="H98" i="26"/>
  <c r="G98" i="26"/>
  <c r="H95" i="26"/>
  <c r="G95" i="26"/>
  <c r="H94" i="26"/>
  <c r="G94" i="26"/>
  <c r="H93" i="26"/>
  <c r="G93" i="26"/>
  <c r="H92" i="26"/>
  <c r="G92" i="26"/>
  <c r="H91" i="26"/>
  <c r="G91" i="26"/>
  <c r="H89" i="26"/>
  <c r="G89" i="26"/>
  <c r="H88" i="26"/>
  <c r="G88" i="26"/>
  <c r="H87" i="26"/>
  <c r="G87" i="26"/>
  <c r="H86" i="26"/>
  <c r="G86" i="26"/>
  <c r="H85" i="26"/>
  <c r="G85" i="26"/>
  <c r="H84" i="26"/>
  <c r="G84" i="26"/>
  <c r="H83" i="26"/>
  <c r="G83" i="26"/>
  <c r="H82" i="26"/>
  <c r="G82" i="26"/>
  <c r="H81" i="26"/>
  <c r="G81" i="26"/>
  <c r="H80" i="26"/>
  <c r="G80" i="26"/>
  <c r="H79" i="26"/>
  <c r="G79" i="26"/>
  <c r="H78" i="26"/>
  <c r="G78" i="26"/>
  <c r="H77" i="26"/>
  <c r="G77" i="26"/>
  <c r="H76" i="26"/>
  <c r="G76" i="26"/>
  <c r="H75" i="26"/>
  <c r="G75" i="26"/>
  <c r="H74" i="26"/>
  <c r="G74" i="26"/>
  <c r="H72" i="26"/>
  <c r="G72" i="26"/>
  <c r="H71" i="26"/>
  <c r="G71" i="26"/>
  <c r="H70" i="26"/>
  <c r="G70" i="26"/>
  <c r="H69" i="26"/>
  <c r="G69" i="26"/>
  <c r="H68" i="26"/>
  <c r="G68" i="26"/>
  <c r="H67" i="26"/>
  <c r="G67" i="26"/>
  <c r="H66" i="26"/>
  <c r="G66" i="26"/>
  <c r="H65" i="26"/>
  <c r="G65" i="26"/>
  <c r="H64" i="26"/>
  <c r="G64" i="26"/>
  <c r="H59" i="26"/>
  <c r="G59" i="26"/>
  <c r="H58" i="26"/>
  <c r="G58" i="26"/>
  <c r="H56" i="26"/>
  <c r="H54" i="26"/>
  <c r="G54" i="26"/>
  <c r="H53" i="26"/>
  <c r="G53" i="26"/>
  <c r="H47" i="26"/>
  <c r="G47" i="26"/>
  <c r="H42" i="26"/>
  <c r="G42" i="26"/>
  <c r="H41" i="26"/>
  <c r="G41" i="26"/>
  <c r="H40" i="26"/>
  <c r="G40" i="26"/>
  <c r="H39" i="26"/>
  <c r="G39" i="26"/>
  <c r="H37" i="26"/>
  <c r="G37" i="26"/>
  <c r="H36" i="26"/>
  <c r="G36" i="26"/>
  <c r="H31" i="26"/>
  <c r="G31" i="26"/>
  <c r="H30" i="26"/>
  <c r="G30" i="26"/>
  <c r="H29" i="26"/>
  <c r="G29" i="26"/>
  <c r="H28" i="26"/>
  <c r="G28" i="26"/>
  <c r="H27" i="26"/>
  <c r="G27" i="26"/>
  <c r="H26" i="26"/>
  <c r="G26" i="26"/>
  <c r="H24" i="26"/>
  <c r="G24" i="26"/>
  <c r="H23" i="26"/>
  <c r="G23" i="26"/>
  <c r="H21" i="26"/>
  <c r="G21" i="26"/>
  <c r="H20" i="26"/>
  <c r="G20" i="26"/>
  <c r="H18" i="26"/>
  <c r="G18" i="26"/>
  <c r="H17" i="26"/>
  <c r="G17" i="26"/>
  <c r="H16" i="26"/>
  <c r="G16" i="26"/>
  <c r="H15" i="26"/>
  <c r="G15" i="26"/>
  <c r="H13" i="26"/>
  <c r="G13" i="26"/>
  <c r="H270" i="26" l="1"/>
  <c r="F268" i="26"/>
  <c r="H268" i="26" s="1"/>
  <c r="F41" i="14"/>
  <c r="G268" i="26" l="1"/>
  <c r="H19" i="22"/>
  <c r="G19" i="22"/>
  <c r="H259" i="26"/>
  <c r="G259" i="26"/>
  <c r="F57" i="26"/>
  <c r="H44" i="26" l="1"/>
  <c r="G44" i="26"/>
  <c r="H45" i="26"/>
  <c r="G45" i="26"/>
  <c r="F73" i="14"/>
  <c r="F72" i="14"/>
  <c r="F60" i="9"/>
  <c r="G60" i="9"/>
  <c r="I60" i="9"/>
  <c r="K60" i="9"/>
  <c r="E60" i="9"/>
  <c r="H73" i="14" l="1"/>
  <c r="G73" i="14"/>
  <c r="H72" i="14"/>
  <c r="G72" i="14"/>
  <c r="G34" i="22" l="1"/>
  <c r="H34" i="22"/>
  <c r="D91" i="14" l="1"/>
  <c r="D95" i="14" s="1"/>
  <c r="D92" i="14"/>
  <c r="D96" i="14" s="1"/>
  <c r="D85" i="14"/>
  <c r="F82" i="14"/>
  <c r="C85" i="14"/>
  <c r="C89" i="14"/>
  <c r="E89" i="14"/>
  <c r="E92" i="14"/>
  <c r="E96" i="14" s="1"/>
  <c r="E90" i="14"/>
  <c r="E94" i="14" s="1"/>
  <c r="F38" i="14" l="1"/>
  <c r="F74" i="22" l="1"/>
  <c r="F43" i="22"/>
  <c r="E10" i="26" l="1"/>
  <c r="F30" i="22"/>
  <c r="H231" i="26" l="1"/>
  <c r="G231" i="26"/>
  <c r="F256" i="26"/>
  <c r="F100" i="26"/>
  <c r="M21" i="26" s="1"/>
  <c r="M34" i="26" s="1"/>
  <c r="F97" i="26"/>
  <c r="F73" i="26"/>
  <c r="F313" i="26"/>
  <c r="G25" i="26" l="1"/>
  <c r="H25" i="26"/>
  <c r="H261" i="26"/>
  <c r="G261" i="26"/>
  <c r="F312" i="26"/>
  <c r="G313" i="26"/>
  <c r="H313" i="26"/>
  <c r="F255" i="26"/>
  <c r="H256" i="26"/>
  <c r="G256" i="26"/>
  <c r="F38" i="26"/>
  <c r="F32" i="26" s="1"/>
  <c r="F19" i="26"/>
  <c r="F322" i="26"/>
  <c r="E43" i="22"/>
  <c r="G52" i="22"/>
  <c r="H52" i="22"/>
  <c r="F9" i="26" l="1"/>
  <c r="H255" i="26"/>
  <c r="G255" i="26"/>
  <c r="H312" i="26"/>
  <c r="G312" i="26"/>
  <c r="F321" i="26"/>
  <c r="F63" i="26"/>
  <c r="F62" i="26" l="1"/>
  <c r="D6" i="24"/>
  <c r="E50" i="26" l="1"/>
  <c r="E48" i="26" s="1"/>
  <c r="E124" i="26"/>
  <c r="E118" i="26"/>
  <c r="E253" i="26"/>
  <c r="F276" i="26"/>
  <c r="D322" i="26"/>
  <c r="E183" i="26"/>
  <c r="E117" i="26" l="1"/>
  <c r="E115" i="26" s="1"/>
  <c r="G115" i="26" l="1"/>
  <c r="H115" i="26"/>
  <c r="E322" i="26"/>
  <c r="E251" i="26"/>
  <c r="E250" i="26" s="1"/>
  <c r="E248" i="26" s="1"/>
  <c r="G322" i="26" l="1"/>
  <c r="H322" i="26"/>
  <c r="F253" i="26"/>
  <c r="E321" i="26"/>
  <c r="E73" i="26"/>
  <c r="E57" i="26"/>
  <c r="D43" i="26"/>
  <c r="E46" i="26"/>
  <c r="G73" i="26" l="1"/>
  <c r="H73" i="26"/>
  <c r="E55" i="26"/>
  <c r="H57" i="26"/>
  <c r="G57" i="26"/>
  <c r="H321" i="26"/>
  <c r="G321" i="26"/>
  <c r="G253" i="26"/>
  <c r="H253" i="26"/>
  <c r="E43" i="26"/>
  <c r="G46" i="26"/>
  <c r="H46" i="26"/>
  <c r="H55" i="26" l="1"/>
  <c r="G55" i="26"/>
  <c r="H14" i="26"/>
  <c r="G14" i="26"/>
  <c r="F298" i="26"/>
  <c r="F301" i="26"/>
  <c r="F275" i="26" l="1"/>
  <c r="F297" i="26"/>
  <c r="F96" i="26"/>
  <c r="M16" i="26" s="1"/>
  <c r="E63" i="26"/>
  <c r="E111" i="26"/>
  <c r="E100" i="26"/>
  <c r="E97" i="26"/>
  <c r="H100" i="26" l="1"/>
  <c r="G100" i="26"/>
  <c r="E62" i="26"/>
  <c r="G63" i="26"/>
  <c r="H63" i="26"/>
  <c r="F273" i="26"/>
  <c r="E110" i="26"/>
  <c r="G111" i="26"/>
  <c r="H111" i="26"/>
  <c r="F60" i="26"/>
  <c r="G97" i="26"/>
  <c r="H97" i="26"/>
  <c r="E96" i="26"/>
  <c r="G96" i="26" s="1"/>
  <c r="D25" i="24"/>
  <c r="D74" i="24"/>
  <c r="E74" i="24"/>
  <c r="G74" i="24" l="1"/>
  <c r="F74" i="24"/>
  <c r="G25" i="24"/>
  <c r="F25" i="24"/>
  <c r="H96" i="26"/>
  <c r="H110" i="26"/>
  <c r="G110" i="26"/>
  <c r="H62" i="26"/>
  <c r="G62" i="26"/>
  <c r="E60" i="26"/>
  <c r="C74" i="24"/>
  <c r="H60" i="26" l="1"/>
  <c r="G60" i="26"/>
  <c r="C5" i="24"/>
  <c r="E93" i="22"/>
  <c r="D30" i="22"/>
  <c r="D43" i="22"/>
  <c r="E70" i="22"/>
  <c r="D70" i="22"/>
  <c r="D74" i="22"/>
  <c r="D93" i="22"/>
  <c r="D256" i="26" l="1"/>
  <c r="D251" i="26"/>
  <c r="D250" i="26" s="1"/>
  <c r="D248" i="26" s="1"/>
  <c r="D218" i="26"/>
  <c r="D217" i="26" s="1"/>
  <c r="D215" i="26" s="1"/>
  <c r="D180" i="26"/>
  <c r="D179" i="26" s="1"/>
  <c r="D177" i="26" s="1"/>
  <c r="D172" i="26"/>
  <c r="D139" i="26"/>
  <c r="D129" i="26" s="1"/>
  <c r="D118" i="26"/>
  <c r="D124" i="26"/>
  <c r="D117" i="26" l="1"/>
  <c r="D115" i="26" s="1"/>
  <c r="H97" i="22" l="1"/>
  <c r="G97" i="22"/>
  <c r="H96" i="22"/>
  <c r="G96" i="22"/>
  <c r="H95" i="22"/>
  <c r="G95" i="22"/>
  <c r="H94" i="22"/>
  <c r="G94" i="22"/>
  <c r="H86" i="22"/>
  <c r="G86" i="22"/>
  <c r="H85" i="22"/>
  <c r="G85" i="22"/>
  <c r="H84" i="22"/>
  <c r="G84" i="22"/>
  <c r="H83" i="22"/>
  <c r="G83" i="22"/>
  <c r="H82" i="22"/>
  <c r="G82" i="22"/>
  <c r="H81" i="22"/>
  <c r="G81" i="22"/>
  <c r="H80" i="22"/>
  <c r="G80" i="22"/>
  <c r="H79" i="22"/>
  <c r="G79" i="22"/>
  <c r="H78" i="22"/>
  <c r="G78" i="22"/>
  <c r="H77" i="22"/>
  <c r="G77" i="22"/>
  <c r="H76" i="22"/>
  <c r="G76" i="22"/>
  <c r="H75" i="22"/>
  <c r="G75" i="22"/>
  <c r="H73" i="22"/>
  <c r="G73" i="22"/>
  <c r="H72" i="22"/>
  <c r="G72" i="22"/>
  <c r="H68" i="22"/>
  <c r="G68" i="22"/>
  <c r="H67" i="22"/>
  <c r="G67" i="22"/>
  <c r="H66" i="22"/>
  <c r="G66" i="22"/>
  <c r="H65" i="22"/>
  <c r="G65" i="22"/>
  <c r="H64" i="22"/>
  <c r="G64" i="22"/>
  <c r="H63" i="22"/>
  <c r="G63" i="22"/>
  <c r="H62" i="22"/>
  <c r="G62" i="22"/>
  <c r="H61" i="22"/>
  <c r="G61" i="22"/>
  <c r="H60" i="22"/>
  <c r="G60" i="22"/>
  <c r="H59" i="22"/>
  <c r="G59" i="22"/>
  <c r="H58" i="22"/>
  <c r="G58" i="22"/>
  <c r="H57" i="22"/>
  <c r="G57" i="22"/>
  <c r="H56" i="22"/>
  <c r="G56" i="22"/>
  <c r="H55" i="22"/>
  <c r="G55" i="22"/>
  <c r="H54" i="22"/>
  <c r="G54" i="22"/>
  <c r="H53" i="22"/>
  <c r="G53" i="22"/>
  <c r="H50" i="22"/>
  <c r="G50" i="22"/>
  <c r="H49" i="22"/>
  <c r="G49" i="22"/>
  <c r="H48" i="22"/>
  <c r="G48" i="22"/>
  <c r="H47" i="22"/>
  <c r="G47" i="22"/>
  <c r="H46" i="22"/>
  <c r="G46" i="22"/>
  <c r="H45" i="22"/>
  <c r="G45" i="22"/>
  <c r="H44" i="22"/>
  <c r="G44" i="22"/>
  <c r="H42" i="22"/>
  <c r="G42" i="22"/>
  <c r="H40" i="22"/>
  <c r="G40" i="22"/>
  <c r="H39" i="22"/>
  <c r="G39" i="22"/>
  <c r="H38" i="22"/>
  <c r="G38" i="22"/>
  <c r="H37" i="22"/>
  <c r="G37" i="22"/>
  <c r="H36" i="22"/>
  <c r="G36" i="22"/>
  <c r="H35" i="22"/>
  <c r="G35" i="22"/>
  <c r="H33" i="22"/>
  <c r="G33" i="22"/>
  <c r="H32" i="22"/>
  <c r="G32" i="22"/>
  <c r="H31" i="22"/>
  <c r="G31" i="22"/>
  <c r="D48" i="26"/>
  <c r="E215" i="26" l="1"/>
  <c r="F124" i="26"/>
  <c r="H8" i="22"/>
  <c r="G8" i="22"/>
  <c r="H124" i="26" l="1"/>
  <c r="G124" i="26"/>
  <c r="F217" i="26"/>
  <c r="H218" i="26"/>
  <c r="G218" i="26"/>
  <c r="F215" i="26" l="1"/>
  <c r="G215" i="26"/>
  <c r="H215" i="26"/>
  <c r="H217" i="26"/>
  <c r="G217" i="26"/>
  <c r="H12" i="26"/>
  <c r="G12" i="26"/>
  <c r="H11" i="26"/>
  <c r="G11" i="26"/>
  <c r="D321" i="26" l="1"/>
  <c r="E91" i="14" l="1"/>
  <c r="E95" i="14" s="1"/>
  <c r="F87" i="14" l="1"/>
  <c r="F88" i="14"/>
  <c r="F91" i="14"/>
  <c r="F95" i="14" s="1"/>
  <c r="C95" i="14"/>
  <c r="D89" i="14"/>
  <c r="F66" i="14"/>
  <c r="G66" i="14" s="1"/>
  <c r="D59" i="14"/>
  <c r="F59" i="14" s="1"/>
  <c r="E59" i="14"/>
  <c r="C59" i="14"/>
  <c r="C57" i="14" s="1"/>
  <c r="D55" i="14"/>
  <c r="F55" i="14" s="1"/>
  <c r="G55" i="14" s="1"/>
  <c r="C55" i="14"/>
  <c r="F46" i="14"/>
  <c r="F47" i="14"/>
  <c r="F48" i="14"/>
  <c r="F49" i="14"/>
  <c r="G49" i="14" s="1"/>
  <c r="F45" i="14"/>
  <c r="F17" i="14"/>
  <c r="F18" i="14"/>
  <c r="F19" i="14"/>
  <c r="F20" i="14"/>
  <c r="F21" i="14"/>
  <c r="F23" i="14"/>
  <c r="F24" i="14"/>
  <c r="F26" i="14"/>
  <c r="F27" i="14"/>
  <c r="F28" i="14"/>
  <c r="F29" i="14"/>
  <c r="F30" i="14"/>
  <c r="F32" i="14"/>
  <c r="F33" i="14"/>
  <c r="F34" i="14"/>
  <c r="H34" i="14" s="1"/>
  <c r="F35" i="14"/>
  <c r="F37" i="14"/>
  <c r="F40" i="14"/>
  <c r="F10" i="14"/>
  <c r="F11" i="14"/>
  <c r="F12" i="14"/>
  <c r="F13" i="14"/>
  <c r="F14" i="14"/>
  <c r="F8" i="14"/>
  <c r="G59" i="14" l="1"/>
  <c r="H59" i="14"/>
  <c r="F92" i="14"/>
  <c r="F96" i="14" s="1"/>
  <c r="F90" i="14"/>
  <c r="F94" i="14" s="1"/>
  <c r="D22" i="22"/>
  <c r="E22" i="22"/>
  <c r="D13" i="22"/>
  <c r="D319" i="26" l="1"/>
  <c r="E319" i="26"/>
  <c r="E318" i="26" l="1"/>
  <c r="D318" i="26"/>
  <c r="D316" i="26" s="1"/>
  <c r="D161" i="26"/>
  <c r="F22" i="22" l="1"/>
  <c r="H22" i="22" l="1"/>
  <c r="G22" i="22"/>
  <c r="F183" i="26"/>
  <c r="H183" i="26" l="1"/>
  <c r="G183" i="26"/>
  <c r="F172" i="26"/>
  <c r="F180" i="26"/>
  <c r="F118" i="26" l="1"/>
  <c r="F179" i="26"/>
  <c r="F177" i="26" l="1"/>
  <c r="F117" i="26"/>
  <c r="H118" i="26"/>
  <c r="G118" i="26"/>
  <c r="F50" i="26"/>
  <c r="H117" i="26" l="1"/>
  <c r="G117" i="26"/>
  <c r="G50" i="26"/>
  <c r="H50" i="26"/>
  <c r="F48" i="26"/>
  <c r="D242" i="26"/>
  <c r="D241" i="26" s="1"/>
  <c r="H48" i="26" l="1"/>
  <c r="G48" i="26"/>
  <c r="D255" i="26"/>
  <c r="D253" i="26" s="1"/>
  <c r="D202" i="26" l="1"/>
  <c r="E316" i="26"/>
  <c r="D301" i="26" l="1"/>
  <c r="D283" i="26"/>
  <c r="D276" i="26"/>
  <c r="E283" i="26"/>
  <c r="D228" i="26"/>
  <c r="G283" i="26" l="1"/>
  <c r="H283" i="26"/>
  <c r="D275" i="26"/>
  <c r="D154" i="26"/>
  <c r="D166" i="26"/>
  <c r="D165" i="26" s="1"/>
  <c r="D246" i="26" l="1"/>
  <c r="D245" i="26" l="1"/>
  <c r="D19" i="26"/>
  <c r="D239" i="26" l="1"/>
  <c r="F139" i="26" l="1"/>
  <c r="F129" i="26" l="1"/>
  <c r="E254" i="26"/>
  <c r="F246" i="26"/>
  <c r="F241" i="26" l="1"/>
  <c r="F245" i="26"/>
  <c r="F154" i="26"/>
  <c r="F239" i="26" l="1"/>
  <c r="F319" i="26"/>
  <c r="F251" i="26"/>
  <c r="H251" i="26" l="1"/>
  <c r="G251" i="26"/>
  <c r="G319" i="26"/>
  <c r="H319" i="26"/>
  <c r="F250" i="26"/>
  <c r="F318" i="26"/>
  <c r="H318" i="26" l="1"/>
  <c r="G318" i="26"/>
  <c r="H250" i="26"/>
  <c r="G250" i="26"/>
  <c r="F248" i="26"/>
  <c r="F316" i="26"/>
  <c r="E301" i="26"/>
  <c r="D298" i="26"/>
  <c r="D297" i="26" s="1"/>
  <c r="D273" i="26" s="1"/>
  <c r="E298" i="26"/>
  <c r="G316" i="26" l="1"/>
  <c r="H316" i="26"/>
  <c r="H248" i="26"/>
  <c r="G248" i="26"/>
  <c r="H298" i="26"/>
  <c r="G298" i="26"/>
  <c r="H301" i="26"/>
  <c r="G301" i="26"/>
  <c r="E297" i="26"/>
  <c r="E276" i="26"/>
  <c r="H297" i="26" l="1"/>
  <c r="G297" i="26"/>
  <c r="E275" i="26"/>
  <c r="E273" i="26" s="1"/>
  <c r="H276" i="26"/>
  <c r="G276" i="26"/>
  <c r="F202" i="26"/>
  <c r="H275" i="26" l="1"/>
  <c r="G275" i="26"/>
  <c r="G273" i="26"/>
  <c r="H273" i="26"/>
  <c r="E5" i="24"/>
  <c r="D5" i="24"/>
  <c r="F43" i="26" l="1"/>
  <c r="G43" i="26" l="1"/>
  <c r="H43" i="26"/>
  <c r="E30" i="22"/>
  <c r="E7" i="22"/>
  <c r="D20" i="22"/>
  <c r="E20" i="22"/>
  <c r="F20" i="22"/>
  <c r="E13" i="22"/>
  <c r="D7" i="22"/>
  <c r="E246" i="26"/>
  <c r="E242" i="26"/>
  <c r="D227" i="26"/>
  <c r="F228" i="26"/>
  <c r="E228" i="26"/>
  <c r="D225" i="26" l="1"/>
  <c r="F6" i="22"/>
  <c r="E227" i="26"/>
  <c r="H20" i="22"/>
  <c r="G20" i="22"/>
  <c r="H13" i="22"/>
  <c r="G13" i="22"/>
  <c r="E241" i="26"/>
  <c r="H242" i="26"/>
  <c r="G242" i="26"/>
  <c r="H246" i="26"/>
  <c r="G246" i="26"/>
  <c r="H228" i="26"/>
  <c r="G228" i="26"/>
  <c r="F227" i="26"/>
  <c r="E245" i="26"/>
  <c r="D6" i="22"/>
  <c r="E6" i="22"/>
  <c r="E202" i="26"/>
  <c r="L14" i="26" s="1"/>
  <c r="D210" i="26"/>
  <c r="D207" i="26" s="1"/>
  <c r="F210" i="26"/>
  <c r="E210" i="26"/>
  <c r="D193" i="26"/>
  <c r="D192" i="26" s="1"/>
  <c r="F193" i="26"/>
  <c r="M10" i="26" s="1"/>
  <c r="M30" i="26" s="1"/>
  <c r="M35" i="26" s="1"/>
  <c r="E193" i="26"/>
  <c r="L10" i="26" s="1"/>
  <c r="L30" i="26" s="1"/>
  <c r="E180" i="26"/>
  <c r="D163" i="26"/>
  <c r="F166" i="26"/>
  <c r="E166" i="26"/>
  <c r="E172" i="26"/>
  <c r="E139" i="26"/>
  <c r="D151" i="26"/>
  <c r="F151" i="26"/>
  <c r="E151" i="26"/>
  <c r="D10" i="26"/>
  <c r="D38" i="26"/>
  <c r="E38" i="26"/>
  <c r="E19" i="26"/>
  <c r="E207" i="26" l="1"/>
  <c r="L16" i="26" s="1"/>
  <c r="L21" i="26"/>
  <c r="L34" i="26" s="1"/>
  <c r="L35" i="26" s="1"/>
  <c r="F207" i="26"/>
  <c r="E225" i="26"/>
  <c r="F192" i="26"/>
  <c r="M9" i="26" s="1"/>
  <c r="M7" i="26" s="1"/>
  <c r="H166" i="26"/>
  <c r="G166" i="26"/>
  <c r="G151" i="26"/>
  <c r="H151" i="26"/>
  <c r="H227" i="26"/>
  <c r="G227" i="26"/>
  <c r="H38" i="26"/>
  <c r="G38" i="26"/>
  <c r="E179" i="26"/>
  <c r="G180" i="26"/>
  <c r="H180" i="26"/>
  <c r="H241" i="26"/>
  <c r="G241" i="26"/>
  <c r="E239" i="26"/>
  <c r="H245" i="26"/>
  <c r="G245" i="26"/>
  <c r="G19" i="26"/>
  <c r="H19" i="26"/>
  <c r="H210" i="26"/>
  <c r="G210" i="26"/>
  <c r="E129" i="26"/>
  <c r="H139" i="26"/>
  <c r="G139" i="26"/>
  <c r="H172" i="26"/>
  <c r="G172" i="26"/>
  <c r="H202" i="26"/>
  <c r="G202" i="26"/>
  <c r="E192" i="26"/>
  <c r="H193" i="26"/>
  <c r="G193" i="26"/>
  <c r="F7" i="26"/>
  <c r="G6" i="22"/>
  <c r="H6" i="22"/>
  <c r="E9" i="26"/>
  <c r="F225" i="26"/>
  <c r="H10" i="26"/>
  <c r="G10" i="26"/>
  <c r="D9" i="26"/>
  <c r="D190" i="26"/>
  <c r="F165" i="26"/>
  <c r="E32" i="26"/>
  <c r="D32" i="26"/>
  <c r="E165" i="26"/>
  <c r="E163" i="26" s="1"/>
  <c r="E190" i="26" l="1"/>
  <c r="L9" i="26"/>
  <c r="L7" i="26" s="1"/>
  <c r="D7" i="26"/>
  <c r="F190" i="26"/>
  <c r="F6" i="26" s="1"/>
  <c r="H32" i="26"/>
  <c r="G129" i="26"/>
  <c r="H129" i="26"/>
  <c r="G32" i="26"/>
  <c r="E177" i="26"/>
  <c r="H179" i="26"/>
  <c r="G179" i="26"/>
  <c r="H165" i="26"/>
  <c r="G165" i="26"/>
  <c r="G239" i="26"/>
  <c r="H239" i="26"/>
  <c r="H225" i="26"/>
  <c r="G225" i="26"/>
  <c r="G207" i="26"/>
  <c r="H207" i="26"/>
  <c r="H192" i="26"/>
  <c r="G192" i="26"/>
  <c r="F163" i="26"/>
  <c r="E7" i="26"/>
  <c r="H190" i="26" l="1"/>
  <c r="H163" i="26"/>
  <c r="G163" i="26"/>
  <c r="G177" i="26"/>
  <c r="H177" i="26"/>
  <c r="G190" i="26"/>
  <c r="F89" i="14"/>
  <c r="C25" i="14"/>
  <c r="F50" i="14"/>
  <c r="E50" i="14"/>
  <c r="D50" i="14"/>
  <c r="C50" i="14"/>
  <c r="H49" i="14"/>
  <c r="H48" i="14"/>
  <c r="G48" i="14"/>
  <c r="H47" i="14"/>
  <c r="G47" i="14"/>
  <c r="H46" i="14"/>
  <c r="G46" i="14"/>
  <c r="H45" i="14"/>
  <c r="G45" i="14"/>
  <c r="C81" i="14"/>
  <c r="C93" i="14" s="1"/>
  <c r="D81" i="14"/>
  <c r="D93" i="14" s="1"/>
  <c r="E81" i="14"/>
  <c r="F81" i="14"/>
  <c r="F93" i="14" s="1"/>
  <c r="E85" i="14"/>
  <c r="F85" i="14"/>
  <c r="G50" i="14" l="1"/>
  <c r="H50" i="14"/>
  <c r="G6" i="24"/>
  <c r="H7" i="22" l="1"/>
  <c r="G7" i="22"/>
  <c r="N7" i="9" l="1"/>
  <c r="N60" i="9" s="1"/>
  <c r="M7" i="9"/>
  <c r="M8" i="9"/>
  <c r="M18" i="9"/>
  <c r="M41" i="9"/>
  <c r="F6" i="24"/>
  <c r="H9" i="26"/>
  <c r="G9" i="26"/>
  <c r="H30" i="22"/>
  <c r="H41" i="22"/>
  <c r="H43" i="22"/>
  <c r="H51" i="22"/>
  <c r="H70" i="22"/>
  <c r="H74" i="22"/>
  <c r="H93" i="22"/>
  <c r="G30" i="22"/>
  <c r="G41" i="22"/>
  <c r="G43" i="22"/>
  <c r="G51" i="22"/>
  <c r="G70" i="22"/>
  <c r="G74" i="22"/>
  <c r="G93" i="22"/>
  <c r="O41" i="9" l="1"/>
  <c r="P41" i="9"/>
  <c r="P60" i="9"/>
  <c r="O60" i="9"/>
  <c r="P18" i="9"/>
  <c r="O18" i="9"/>
  <c r="M60" i="9"/>
  <c r="D150" i="26"/>
  <c r="D160" i="26"/>
  <c r="F161" i="26"/>
  <c r="E161" i="26"/>
  <c r="E154" i="26"/>
  <c r="H7" i="26"/>
  <c r="G5" i="24"/>
  <c r="P7" i="9"/>
  <c r="P8" i="9"/>
  <c r="G7" i="26"/>
  <c r="O8" i="9"/>
  <c r="O7" i="9"/>
  <c r="F5" i="24"/>
  <c r="H154" i="26" l="1"/>
  <c r="G154" i="26"/>
  <c r="G161" i="26"/>
  <c r="H161" i="26"/>
  <c r="D127" i="26"/>
  <c r="E160" i="26"/>
  <c r="F150" i="26"/>
  <c r="F160" i="26"/>
  <c r="E150" i="26"/>
  <c r="H71" i="14"/>
  <c r="G71" i="14"/>
  <c r="H53" i="14"/>
  <c r="H54" i="14"/>
  <c r="H55" i="14"/>
  <c r="H56" i="14"/>
  <c r="H58" i="14"/>
  <c r="H60" i="14"/>
  <c r="H61" i="14"/>
  <c r="H62" i="14"/>
  <c r="H63" i="14"/>
  <c r="H65" i="14"/>
  <c r="H66" i="14"/>
  <c r="H67" i="14"/>
  <c r="H10" i="14"/>
  <c r="H11" i="14"/>
  <c r="H12" i="14"/>
  <c r="H13" i="14"/>
  <c r="H14" i="14"/>
  <c r="H17" i="14"/>
  <c r="H18" i="14"/>
  <c r="H19" i="14"/>
  <c r="H20" i="14"/>
  <c r="H21" i="14"/>
  <c r="H23" i="14"/>
  <c r="H24" i="14"/>
  <c r="H26" i="14"/>
  <c r="H29" i="14"/>
  <c r="H30" i="14"/>
  <c r="H32" i="14"/>
  <c r="H33" i="14"/>
  <c r="H35" i="14"/>
  <c r="H37" i="14"/>
  <c r="H38" i="14"/>
  <c r="H40" i="14"/>
  <c r="H41" i="14"/>
  <c r="H150" i="26" l="1"/>
  <c r="G150" i="26"/>
  <c r="H160" i="26"/>
  <c r="G160" i="26"/>
  <c r="E127" i="26"/>
  <c r="E6" i="26" s="1"/>
  <c r="F127" i="26"/>
  <c r="H8" i="14"/>
  <c r="G18" i="14"/>
  <c r="G19" i="14"/>
  <c r="G20" i="14"/>
  <c r="G21" i="14"/>
  <c r="G10" i="14"/>
  <c r="G11" i="14"/>
  <c r="G12" i="14"/>
  <c r="G13" i="14"/>
  <c r="G14" i="14"/>
  <c r="G17" i="14"/>
  <c r="G23" i="14"/>
  <c r="G24" i="14"/>
  <c r="G26" i="14"/>
  <c r="G29" i="14"/>
  <c r="G30" i="14"/>
  <c r="G32" i="14"/>
  <c r="G33" i="14"/>
  <c r="G34" i="14"/>
  <c r="G35" i="14"/>
  <c r="G37" i="14"/>
  <c r="G38" i="14"/>
  <c r="G40" i="14"/>
  <c r="G41" i="14"/>
  <c r="G8" i="14"/>
  <c r="H127" i="26" l="1"/>
  <c r="G127" i="26"/>
  <c r="C70" i="14"/>
  <c r="D70" i="14"/>
  <c r="E70" i="14"/>
  <c r="F70" i="14"/>
  <c r="G70" i="14" l="1"/>
  <c r="H70" i="14"/>
  <c r="D57" i="14"/>
  <c r="D52" i="14"/>
  <c r="C52" i="14"/>
  <c r="D64" i="14"/>
  <c r="E64" i="14"/>
  <c r="F64" i="14"/>
  <c r="C64" i="14"/>
  <c r="E57" i="14"/>
  <c r="F57" i="14"/>
  <c r="E52" i="14"/>
  <c r="F52" i="14"/>
  <c r="E25" i="14"/>
  <c r="D22" i="14"/>
  <c r="E22" i="14"/>
  <c r="E42" i="14" s="1"/>
  <c r="C42" i="14"/>
  <c r="G64" i="14" l="1"/>
  <c r="G57" i="14"/>
  <c r="H52" i="14"/>
  <c r="G52" i="14"/>
  <c r="D42" i="14"/>
  <c r="F22" i="14"/>
  <c r="H22" i="14" s="1"/>
  <c r="H64" i="14"/>
  <c r="H57" i="14"/>
  <c r="C68" i="14"/>
  <c r="E68" i="14"/>
  <c r="D68" i="14"/>
  <c r="F68" i="14"/>
  <c r="D25" i="14"/>
  <c r="D16" i="14"/>
  <c r="F16" i="14" s="1"/>
  <c r="E16" i="14"/>
  <c r="C16" i="14"/>
  <c r="D9" i="14"/>
  <c r="E9" i="14"/>
  <c r="C9" i="14"/>
  <c r="G68" i="14" l="1"/>
  <c r="F42" i="14"/>
  <c r="H42" i="14" s="1"/>
  <c r="G22" i="14"/>
  <c r="F9" i="14"/>
  <c r="H9" i="14" s="1"/>
  <c r="D15" i="14"/>
  <c r="D31" i="14" s="1"/>
  <c r="D36" i="14" s="1"/>
  <c r="F25" i="14"/>
  <c r="C43" i="14"/>
  <c r="D43" i="14"/>
  <c r="F43" i="14" s="1"/>
  <c r="E15" i="14"/>
  <c r="E31" i="14" s="1"/>
  <c r="E36" i="14" s="1"/>
  <c r="E43" i="14"/>
  <c r="G42" i="14"/>
  <c r="H16" i="14"/>
  <c r="H68" i="14"/>
  <c r="G16" i="14"/>
  <c r="G9" i="14" l="1"/>
  <c r="H25" i="14"/>
  <c r="G25" i="14"/>
  <c r="G43" i="14"/>
  <c r="H43" i="14"/>
  <c r="E39" i="14" l="1"/>
  <c r="F31" i="14" l="1"/>
  <c r="F15" i="14"/>
  <c r="C15" i="14"/>
  <c r="D39" i="14" l="1"/>
  <c r="F39" i="14" s="1"/>
  <c r="G15" i="14"/>
  <c r="H15" i="14"/>
  <c r="H31" i="14"/>
  <c r="G31" i="14"/>
  <c r="C31" i="14"/>
  <c r="C36" i="14" l="1"/>
  <c r="C39" i="14" s="1"/>
  <c r="F36" i="14"/>
  <c r="H36" i="14" s="1"/>
  <c r="H39" i="14"/>
  <c r="G39" i="14"/>
  <c r="G36" i="14" l="1"/>
</calcChain>
</file>

<file path=xl/sharedStrings.xml><?xml version="1.0" encoding="utf-8"?>
<sst xmlns="http://schemas.openxmlformats.org/spreadsheetml/2006/main" count="940" uniqueCount="453">
  <si>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</si>
  <si>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</si>
  <si>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</si>
  <si>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</si>
  <si>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</si>
  <si>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</si>
  <si>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</si>
  <si>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придбання (виготовлення) інших необоротних матеріальних активів</t>
  </si>
  <si>
    <t>№ з/п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</si>
  <si>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</si>
  <si>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</si>
  <si>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</si>
  <si>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</si>
  <si>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</si>
  <si>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</si>
  <si>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</si>
  <si>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</si>
  <si>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(ініціали, прізвище)</t>
  </si>
  <si>
    <t>Основні фінансові показники</t>
  </si>
  <si>
    <t>Капітальні інвестиції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</si>
  <si>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</si>
  <si>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</si>
  <si>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</si>
  <si>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</si>
  <si>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</si>
  <si>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</si>
  <si>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</si>
  <si>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</si>
  <si>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</si>
  <si>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</si>
  <si>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</si>
  <si>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</si>
  <si>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</si>
  <si>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</si>
  <si>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</si>
  <si>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</si>
  <si>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</si>
  <si>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</si>
  <si>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</si>
  <si>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капітальний ремонт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</si>
  <si>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</si>
  <si>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</si>
  <si>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</si>
  <si>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</si>
  <si>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</si>
  <si>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</si>
  <si>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</si>
  <si>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</si>
  <si>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</si>
  <si>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</si>
  <si>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</si>
  <si>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</si>
  <si>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</si>
  <si>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</si>
  <si>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</si>
  <si>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</si>
  <si>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</si>
  <si>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</si>
  <si>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</si>
  <si>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</si>
  <si>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</si>
  <si>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</si>
  <si>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</si>
  <si>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</si>
  <si>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</si>
  <si>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</si>
  <si>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</si>
  <si>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</si>
  <si>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</si>
  <si>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</si>
  <si>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</si>
  <si>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</si>
  <si>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</si>
  <si>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</si>
  <si>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</si>
  <si>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</si>
  <si>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</si>
  <si>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Інші фінансові доходи, усього, у тому числі:</t>
  </si>
  <si>
    <t>ВИТРАТИ</t>
  </si>
  <si>
    <t>Собівартість реалізованої продукції (товарів, робіт, послуг),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</si>
  <si>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</si>
  <si>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</si>
  <si>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</si>
  <si>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</si>
  <si>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</si>
  <si>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</si>
  <si>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</si>
  <si>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</si>
  <si>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</si>
  <si>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</si>
  <si>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</si>
  <si>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</si>
  <si>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</si>
  <si>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</si>
  <si>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</si>
  <si>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</si>
  <si>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Придбання (виготовлення) основних засобів, усього, у т.ч.:</t>
  </si>
  <si>
    <t>Придбання (виготовлення) інших необоротних матеріальних активів, усього, у т.ч.:</t>
  </si>
  <si>
    <t>Інші витрати,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</si>
  <si>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</si>
  <si>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</si>
  <si>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</si>
  <si>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</si>
  <si>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</si>
  <si>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</si>
  <si>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</si>
  <si>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4.</t>
  </si>
  <si>
    <t>Матеріальні витрати, усього, у т.ч.:</t>
  </si>
  <si>
    <t>план</t>
  </si>
  <si>
    <t>факт</t>
  </si>
  <si>
    <t>відхилення, +/-</t>
  </si>
  <si>
    <t>виконання, 
%</t>
  </si>
  <si>
    <t>відхилення, +,-</t>
  </si>
  <si>
    <t>відхилення, %</t>
  </si>
  <si>
    <t>відхилення, 
%</t>
  </si>
  <si>
    <t>Відхилення, +,-</t>
  </si>
  <si>
    <t>Відхилення, %</t>
  </si>
  <si>
    <t>Усього доходів</t>
  </si>
  <si>
    <t>Усього видатків</t>
  </si>
  <si>
    <t>Розшифровка №2 до розділу І "Формування фінансових результатів за джерелами доходів та використання коштів"</t>
  </si>
  <si>
    <t>Кошти державного бюджету від Національної служби здоров'я України</t>
  </si>
  <si>
    <t>Інші операційні витрати:</t>
  </si>
  <si>
    <t>Факт наростаючим підсумком з початку року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</si>
  <si>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</si>
  <si>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</si>
  <si>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</si>
  <si>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</si>
  <si>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</si>
  <si>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</si>
  <si>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</si>
  <si>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</si>
  <si>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х</t>
  </si>
  <si>
    <t>Елементи операційних витрат:</t>
  </si>
  <si>
    <t>Залучення кредитних коштів</t>
  </si>
  <si>
    <t>Бюджетне фінансування</t>
  </si>
  <si>
    <t>Власні кошти</t>
  </si>
  <si>
    <t>Усього:</t>
  </si>
  <si>
    <t xml:space="preserve">Нараховані до сплати податки та збори до Державного бюджету України (податкові платежі) </t>
  </si>
  <si>
    <t>1.1.1</t>
  </si>
  <si>
    <t xml:space="preserve">медикаменти та перев'язувальні матеріали </t>
  </si>
  <si>
    <t>харчування</t>
  </si>
  <si>
    <t>витрати на сировину для молочної кухні</t>
  </si>
  <si>
    <t>1.1.2</t>
  </si>
  <si>
    <t>1.1.3</t>
  </si>
  <si>
    <t>1.1.4</t>
  </si>
  <si>
    <t>1.1.5</t>
  </si>
  <si>
    <t>Інші витрати, усього, у тому числі:</t>
  </si>
  <si>
    <t>наркопрофогляд, медогляд</t>
  </si>
  <si>
    <t>гістологічні дослідження</t>
  </si>
  <si>
    <t>скринінгові дослідження новонароджених</t>
  </si>
  <si>
    <t>дослідження на ВІЛ</t>
  </si>
  <si>
    <t>бактеріологічні дослідження</t>
  </si>
  <si>
    <t xml:space="preserve">ремонт та технічне обслуговування медичного обладнання </t>
  </si>
  <si>
    <t>повірка медичного обладнання</t>
  </si>
  <si>
    <t>технічне обслуговування та ремонт ліфтів</t>
  </si>
  <si>
    <t>телекомунікаційні послуги</t>
  </si>
  <si>
    <t>1.2.2</t>
  </si>
  <si>
    <t>1.2.3</t>
  </si>
  <si>
    <t>1.2.5</t>
  </si>
  <si>
    <t>Інші адмінінстративні витрати, усього, у тому числі</t>
  </si>
  <si>
    <t xml:space="preserve">охоронна сигналізація </t>
  </si>
  <si>
    <t>1.3.2</t>
  </si>
  <si>
    <t>1.3.3</t>
  </si>
  <si>
    <t>господарські товари, техн. засоби, електрозберігаючі лампочки,  будівельні матеріали, засоби для прибирання та гігієни</t>
  </si>
  <si>
    <t>канцтовари, періодичні видання, бланки, журнали</t>
  </si>
  <si>
    <t>2.1.3</t>
  </si>
  <si>
    <t>дозометричний контроль</t>
  </si>
  <si>
    <t xml:space="preserve">ремонт та технічне обслуговування немедичного обладнання </t>
  </si>
  <si>
    <t>ремонт та технічне обслуговування ПК та оргтехніки</t>
  </si>
  <si>
    <t>ремонт приміщень</t>
  </si>
  <si>
    <t>супровід програмного забезпечення, медіа-супровід, обслуговування сайту, КЕП</t>
  </si>
  <si>
    <t>страхування цивільної відповідальності власників транспортних засобів</t>
  </si>
  <si>
    <t>утилізація, дезінфекція, дезінсекція</t>
  </si>
  <si>
    <t xml:space="preserve">поповнення смарт-карток для проїзду 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</si>
  <si>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</si>
  <si>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</si>
  <si>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</si>
  <si>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вивіз сміття</t>
  </si>
  <si>
    <t>послуги з навчання</t>
  </si>
  <si>
    <t>Інші  адміністративні витрати, усього, у тому числі:</t>
  </si>
  <si>
    <t xml:space="preserve">За рахунок коштів отриманих від реалізації продукції молочної кухні </t>
  </si>
  <si>
    <t>паливно-мастильні матеріали</t>
  </si>
  <si>
    <t>Інші витрати, у сього, у т.ч.:</t>
  </si>
  <si>
    <t>ремонт та технічне обслуговування немедичного обладнання</t>
  </si>
  <si>
    <t>страхування цивільно-правової відповідальності власників транспортних засобів</t>
  </si>
  <si>
    <t>4.1.1</t>
  </si>
  <si>
    <t>Інші  витрати, усього, у т.ч.:</t>
  </si>
  <si>
    <t>податок на додану вартість</t>
  </si>
  <si>
    <t>7.</t>
  </si>
  <si>
    <t>8.</t>
  </si>
  <si>
    <t>8.1.1</t>
  </si>
  <si>
    <t>витратні матеріали для хворих, що знаходяться на лікуванні у відділенні анестезіології  2019-n CoV</t>
  </si>
  <si>
    <t>витратні матеріали для хворих на цукровий діабет</t>
  </si>
  <si>
    <t>медикаменти 2019-n CoV, предмети матеріали обладнання (в т.ч. медичного) та інвентарю</t>
  </si>
  <si>
    <t>медикаменти та перв'язувальні матеріали</t>
  </si>
  <si>
    <t>програма "СТОП ГРИП"</t>
  </si>
  <si>
    <t xml:space="preserve">хімреактиви, реагенти, тощо </t>
  </si>
  <si>
    <t xml:space="preserve">оплата електроенергії </t>
  </si>
  <si>
    <t xml:space="preserve">вивіз  сміття </t>
  </si>
  <si>
    <t>9.</t>
  </si>
  <si>
    <t>10.</t>
  </si>
  <si>
    <t>Кошти орендарів (енергоносії)</t>
  </si>
  <si>
    <t>Надходження від відсотків за залишками коштів на депозитних рахунках</t>
  </si>
  <si>
    <t>ремонт та технічне обслуговування медичного обладнання</t>
  </si>
  <si>
    <t>банківські послуги</t>
  </si>
  <si>
    <t>Володимир ПРИСЯЖНЮК</t>
  </si>
  <si>
    <t>кошти державного бюджету від Національної служби здоров'я України</t>
  </si>
  <si>
    <t>кошти від реалізації продукції молочної кухні</t>
  </si>
  <si>
    <r>
      <t xml:space="preserve">кошти від надання послуг з  немедичної діяльності </t>
    </r>
    <r>
      <rPr>
        <i/>
        <sz val="14"/>
        <rFont val="Times New Roman"/>
        <family val="1"/>
        <charset val="204"/>
      </rPr>
      <t xml:space="preserve"> (платні палати, стажування інтернів, відшкодування від страхової компанії)</t>
    </r>
  </si>
  <si>
    <r>
      <t xml:space="preserve">кошти орендарів </t>
    </r>
    <r>
      <rPr>
        <i/>
        <sz val="14"/>
        <rFont val="Times New Roman"/>
        <family val="1"/>
        <charset val="204"/>
      </rPr>
      <t>(енергоносії)</t>
    </r>
  </si>
  <si>
    <t>благодійна допомога в грошовому еквіваленті</t>
  </si>
  <si>
    <t>благодійна допомога в натуральній формі</t>
  </si>
  <si>
    <t>дохід від курсової різниці на залишок коштів валютного рахунку</t>
  </si>
  <si>
    <t>надходження від відсотків за залишками коштів на депозитних рахунках</t>
  </si>
  <si>
    <t>медикаменти та перев'язувальні матеріали</t>
  </si>
  <si>
    <t>господарські товари, технічні засоби, енергозберігаючі лампочки,  будівельні матеріали, засоби для прибирання та гігієни</t>
  </si>
  <si>
    <t>ремонт та технічне обслуговування ліфтів</t>
  </si>
  <si>
    <t xml:space="preserve">ремонт приміщень </t>
  </si>
  <si>
    <t>ремонт та технінче обслуговування ПК та оргтехніки</t>
  </si>
  <si>
    <t>ПДВ</t>
  </si>
  <si>
    <t xml:space="preserve">пільгова пенсія </t>
  </si>
  <si>
    <t xml:space="preserve">Холодильна шафа ХШВ Shine (2 шт)                  </t>
  </si>
  <si>
    <t xml:space="preserve">Генератор Covidian </t>
  </si>
  <si>
    <t>Благодійна допомога в натуральній формі</t>
  </si>
  <si>
    <t xml:space="preserve">канцтовари, періодичні видання </t>
  </si>
  <si>
    <t>супровід програмного забезпечення, медіа-супровід, обслуговування сайту,кваліфікований електронний підпис</t>
  </si>
  <si>
    <t>13.</t>
  </si>
  <si>
    <t xml:space="preserve">Благодійна допомога в грошовому еквіваленті </t>
  </si>
  <si>
    <t xml:space="preserve">медикаменти та перевязувальні матеріали </t>
  </si>
  <si>
    <t xml:space="preserve">ремонт та технічне облсуговування ліфтів </t>
  </si>
  <si>
    <t xml:space="preserve">пенсія </t>
  </si>
  <si>
    <t xml:space="preserve">послуги  з навчання </t>
  </si>
  <si>
    <t>17.</t>
  </si>
  <si>
    <t>Нарахування амортизації на безоплатно отримані активи, усього, у т.ч.:</t>
  </si>
  <si>
    <t>нарахування амортизації на безоплатно отримані активи</t>
  </si>
  <si>
    <t>металобрухт</t>
  </si>
  <si>
    <t>5.</t>
  </si>
  <si>
    <t xml:space="preserve"> </t>
  </si>
  <si>
    <t>відшкодування коштів (згідно акту за результатами ревізії, та акту звірки)</t>
  </si>
  <si>
    <t>Кошти бюджету ВМТГ</t>
  </si>
  <si>
    <t>інформаційно-консультаційні послуги</t>
  </si>
  <si>
    <t>паливно-мастильні метеріали</t>
  </si>
  <si>
    <t xml:space="preserve">ремонт та технічне обслуговування авто </t>
  </si>
  <si>
    <t xml:space="preserve">послуги з навчання </t>
  </si>
  <si>
    <t>публікація в газеті</t>
  </si>
  <si>
    <t>Кошти державного бюджету від Національної служби здоров'я України за рахунок залишку коштів на рахунок</t>
  </si>
  <si>
    <t>Кошти від надання послуг з медичної діяльності, відшкодування від страхової компанії</t>
  </si>
  <si>
    <t>пенсія</t>
  </si>
  <si>
    <t xml:space="preserve">публікація в газеті </t>
  </si>
  <si>
    <t>кошти від надання послуг з  медичної діяльності, відшкодування від страхової компанії</t>
  </si>
  <si>
    <t>дохід від оприбуткування вторсировини (металобрухт, медичних відходів)</t>
  </si>
  <si>
    <t>профвнески</t>
  </si>
  <si>
    <t>Директор КНП "ВМКЛ"ЦМтаД"</t>
  </si>
  <si>
    <t>Кошти бюджету ВМТГ (залишки минулих періодів)</t>
  </si>
  <si>
    <t>5.1</t>
  </si>
  <si>
    <t>5.1.1</t>
  </si>
  <si>
    <t>6.</t>
  </si>
  <si>
    <t>14.</t>
  </si>
  <si>
    <t>15.</t>
  </si>
  <si>
    <t>16.</t>
  </si>
  <si>
    <t>Кошти від надання послуг з медичної діяльності, відшкодування від страхової компанії (залишик минулих періодів)</t>
  </si>
  <si>
    <r>
      <t xml:space="preserve">Кошти від надання послуг з  немедичної діяльності </t>
    </r>
    <r>
      <rPr>
        <i/>
        <sz val="14"/>
        <rFont val="Times New Roman"/>
        <family val="1"/>
        <charset val="204"/>
      </rPr>
      <t>(платні палати, стажування інтернів, відшкодування від страхової компанії)</t>
    </r>
  </si>
  <si>
    <t>Директор КНП"ВМКЛ"ЦМтаД"</t>
  </si>
  <si>
    <r>
      <t>Директор КНП "ВМКЛ"ЦМтаД"</t>
    </r>
    <r>
      <rPr>
        <u/>
        <sz val="16"/>
        <color theme="1"/>
        <rFont val="Times New Roman"/>
        <family val="1"/>
        <charset val="204"/>
      </rPr>
      <t xml:space="preserve"> </t>
    </r>
  </si>
  <si>
    <t>Розшифровка до розділу  IV "Капітальні інвестиції" за джерелами надходження</t>
  </si>
  <si>
    <t>кошти Вінницької міської  територіальної громади (ВМТГ)</t>
  </si>
  <si>
    <t>кошти Вінницької міської  територіальної громади (ВМТГ) (залиши минулих періодів)</t>
  </si>
  <si>
    <t>Факт 
за І квартал 2023 року</t>
  </si>
  <si>
    <t xml:space="preserve">Генератор Kraftwele SDG18000S-A з вмонтованим контролером AVR </t>
  </si>
  <si>
    <t xml:space="preserve">Транспортна каталка Stryker   </t>
  </si>
  <si>
    <t xml:space="preserve">Отоскоп / Офтальмоскоп Welch Allun  </t>
  </si>
  <si>
    <t xml:space="preserve">ДБЖ PowerWalker VFI 1000    </t>
  </si>
  <si>
    <t xml:space="preserve">Мікрохвильова піч ERGO EM-2075     </t>
  </si>
  <si>
    <t>Сфігмоманометр, Babyphon, 1 трубка, з 3 манжетами 5/7/10 см</t>
  </si>
  <si>
    <t xml:space="preserve">Стетоскоп неонатальний (двоголовий нагрудник) </t>
  </si>
  <si>
    <t xml:space="preserve">Стетоскоп дитячий (двоголовий нагрудник)  </t>
  </si>
  <si>
    <t xml:space="preserve">Полиця            </t>
  </si>
  <si>
    <t xml:space="preserve">Регулятор швидкості потока кисню (Флоуметр-DIN)  </t>
  </si>
  <si>
    <t>Регулятор швидкості потока кисню (Флоуметр-DIN)</t>
  </si>
  <si>
    <t xml:space="preserve">Комод на 4 шухляди "CAT" 940х450х390 мм, сірий </t>
  </si>
  <si>
    <t>Ваги підлогові електронні SCARLETT SC-BS33E077 йога коти</t>
  </si>
  <si>
    <t xml:space="preserve">Диспенсер для дезінфекції рук (ручний, ліктєвий) 1л </t>
  </si>
  <si>
    <t xml:space="preserve">Дозатор ліктьовий 1л, 9,4*10*25 см, хром </t>
  </si>
  <si>
    <t>Роздавальник складн. паперов. рушників білий V-620</t>
  </si>
  <si>
    <t xml:space="preserve">ДБЖ PowerWalker VFI 1000 </t>
  </si>
  <si>
    <t xml:space="preserve">Киснева розетка стандартна DIN     </t>
  </si>
  <si>
    <t xml:space="preserve">Подушка стьобана екопух 60х60 з чохлом  </t>
  </si>
  <si>
    <t xml:space="preserve">Стіл комп'ютерний </t>
  </si>
  <si>
    <t xml:space="preserve">Ролети Льон 0875 (молочні)   </t>
  </si>
  <si>
    <t xml:space="preserve">Ролети 12 ВН-1203 (день-ніч)  </t>
  </si>
  <si>
    <t xml:space="preserve">Ролети Лазур 2070 (рожеві) </t>
  </si>
  <si>
    <t>Автоматичний перемикач (блок ATS)</t>
  </si>
  <si>
    <t xml:space="preserve">Гініометр медичний </t>
  </si>
  <si>
    <t xml:space="preserve">Стетоскоп  </t>
  </si>
  <si>
    <t>Капітальний ремонт приміщень четвертого поверху пологового будинку міської лікарні «Центр матері та дитини» за адресою: Україна, м. Вінниця, вул. Синьоводська, 142</t>
  </si>
  <si>
    <t xml:space="preserve">адвокатські послуги </t>
  </si>
  <si>
    <t xml:space="preserve">Кошти від надання платних послуг </t>
  </si>
  <si>
    <t xml:space="preserve">витрати на сировину для молочної кухні </t>
  </si>
  <si>
    <t xml:space="preserve">паливно-мастильні матеріали </t>
  </si>
  <si>
    <t xml:space="preserve">оренда медичного обладнання </t>
  </si>
  <si>
    <t xml:space="preserve">ремонт приміщення </t>
  </si>
  <si>
    <t>адвокатські послуги</t>
  </si>
  <si>
    <t xml:space="preserve">банківські послуги </t>
  </si>
  <si>
    <t>дезінфекція, дезінсекція</t>
  </si>
  <si>
    <t xml:space="preserve">дослідження води </t>
  </si>
  <si>
    <t>адміністративні послуги</t>
  </si>
  <si>
    <t xml:space="preserve">утилізація медичних відходів </t>
  </si>
  <si>
    <t>1.3.4.</t>
  </si>
  <si>
    <t xml:space="preserve">Забезпечення шляхом організації надання медичної допомоги із залученням лікарів-інтернів </t>
  </si>
  <si>
    <t xml:space="preserve">нарахування амортизації на безоплатно отримані активи </t>
  </si>
  <si>
    <t>4.1.</t>
  </si>
  <si>
    <t>4.1.2.</t>
  </si>
  <si>
    <t>4.1.3.</t>
  </si>
  <si>
    <t>4.1.4.</t>
  </si>
  <si>
    <t>4.2.</t>
  </si>
  <si>
    <t>4.2.1.</t>
  </si>
  <si>
    <t>4.2.2</t>
  </si>
  <si>
    <t>4.3.</t>
  </si>
  <si>
    <t>4.3.1.</t>
  </si>
  <si>
    <t>5.1.2.</t>
  </si>
  <si>
    <t>6.1.</t>
  </si>
  <si>
    <t>6.1.2</t>
  </si>
  <si>
    <t>6.2.</t>
  </si>
  <si>
    <t>6.2.1.</t>
  </si>
  <si>
    <t>6.2.2.</t>
  </si>
  <si>
    <t>6.3.</t>
  </si>
  <si>
    <t>6.3.1.</t>
  </si>
  <si>
    <t>7.1.</t>
  </si>
  <si>
    <t>7.1.1.</t>
  </si>
  <si>
    <t>7.1.2.</t>
  </si>
  <si>
    <t>7.1.3.</t>
  </si>
  <si>
    <t>7.1.4.</t>
  </si>
  <si>
    <t>8.1.</t>
  </si>
  <si>
    <t>8.1.2.</t>
  </si>
  <si>
    <t>9.1.</t>
  </si>
  <si>
    <t>9.1.1.</t>
  </si>
  <si>
    <t>9.1.2.</t>
  </si>
  <si>
    <t>10.1.</t>
  </si>
  <si>
    <t>10.1.1.</t>
  </si>
  <si>
    <t xml:space="preserve">кошти від надання платних послуг </t>
  </si>
  <si>
    <t>4.1.5.</t>
  </si>
  <si>
    <t>кошти для забезпечення шляхом організації надання медичної допомоги із залученням лікарів-інтернів</t>
  </si>
  <si>
    <t xml:space="preserve">дезінфекція, дезінсекція </t>
  </si>
  <si>
    <t xml:space="preserve">ремонт та технічне обслуговування медичного обладання </t>
  </si>
  <si>
    <t xml:space="preserve">Інші операційні витрати 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</si>
  <si>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</si>
  <si>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15.1</t>
  </si>
  <si>
    <t>15.1.1</t>
  </si>
  <si>
    <t xml:space="preserve">куросурфи </t>
  </si>
  <si>
    <t xml:space="preserve">Система редукування тиску кисню        </t>
  </si>
  <si>
    <t>Інші джерела (НСЗУ, гуманітарна допомога)</t>
  </si>
  <si>
    <t>11.</t>
  </si>
  <si>
    <t>11.1</t>
  </si>
  <si>
    <t>11.1.1</t>
  </si>
  <si>
    <t>Факт                   за І півріччя 2022 року</t>
  </si>
  <si>
    <t>План 
на І півріччя  2023 року</t>
  </si>
  <si>
    <t>Факт 
за І півріччя 2023 року</t>
  </si>
  <si>
    <t>план 
на І півріччя 2023 року</t>
  </si>
  <si>
    <t>факт 
за І півріччя 2023 року</t>
  </si>
  <si>
    <t>проведення наглядового аудиту сертифікації управління якістю</t>
  </si>
  <si>
    <t>Дохід від оприбуткування вторсировини (металобрухт)</t>
  </si>
  <si>
    <t>План 
на І півріччя 2023 року</t>
  </si>
  <si>
    <t>Факт 
за І півріччя  2023 року</t>
  </si>
  <si>
    <t>за І півріччя 2022 року</t>
  </si>
  <si>
    <t>за І півріччя 2023 року</t>
  </si>
  <si>
    <t>Звітний за І півріччя 2023 року</t>
  </si>
  <si>
    <t xml:space="preserve">ЗВІТ
 про виконання показників фінансового плану Комунального некомерційного підприємства                                                                                                                                                                                                                                                                                                                                                     "Вінницька міська клінічна лікарня "Центр матері та дитини"
за І півріччя 2023 року </t>
  </si>
  <si>
    <t xml:space="preserve">інфформаційно-консультаційні послуги </t>
  </si>
  <si>
    <t xml:space="preserve">земельний податок </t>
  </si>
  <si>
    <t>2.1.1.</t>
  </si>
  <si>
    <t xml:space="preserve">медикаменти та перев`язувальні матеріали </t>
  </si>
  <si>
    <t xml:space="preserve">харчування </t>
  </si>
  <si>
    <t>8.2.</t>
  </si>
  <si>
    <t>8.2.1.</t>
  </si>
  <si>
    <t xml:space="preserve">Дохід від надання майна в оренду </t>
  </si>
  <si>
    <t>Інфузійний насос, aitecs DF-12M Open System (2 шт)</t>
  </si>
  <si>
    <t xml:space="preserve">Дефібрилятор Cardiolife TEC-5621, monitoring + manual/AED    </t>
  </si>
  <si>
    <t xml:space="preserve">Монітор пацієнта uMEC 10        </t>
  </si>
  <si>
    <t xml:space="preserve">Апарат штучної вентиляції легенів Babylog 8000 (2 шт)    </t>
  </si>
  <si>
    <t xml:space="preserve">Інкубатор для новонароджених Isolette C 2000        </t>
  </si>
  <si>
    <t xml:space="preserve">Монітор фетальний Sonicaid TEAM DUO      </t>
  </si>
  <si>
    <t xml:space="preserve">Датчик S4-2 зі встановленою опцією для кардіологічних досліджень  </t>
  </si>
  <si>
    <t xml:space="preserve">STARLINK    </t>
  </si>
  <si>
    <t>Пульсоксиметр РМ-60  (2 шт)</t>
  </si>
  <si>
    <t xml:space="preserve">Датчик SpO2 512H для дітей багаторазовий до пульсоксиметра                                                                                                                                              </t>
  </si>
  <si>
    <t xml:space="preserve">Відсмоктувач медичний "Біомед",модель 7Е-В  (4 шт)                                                                                                                                                            </t>
  </si>
  <si>
    <t xml:space="preserve">Лічильник СЛ-1 лабараторний механічний </t>
  </si>
  <si>
    <t xml:space="preserve">JH-2001-36 (KCK-18) Коробка для стерилізації Schimmelbusch, 390*190мм                                                                                                                                   </t>
  </si>
  <si>
    <t xml:space="preserve">Штатив ШДВ-5Н-К </t>
  </si>
  <si>
    <t xml:space="preserve">Штатив ШДВ-5Р-К </t>
  </si>
  <si>
    <t xml:space="preserve">GE Аналізатор електролітів K+, Na+, Cl-, Ca2+, pH, Ref      </t>
  </si>
  <si>
    <t xml:space="preserve">Інкубатор GE Incubator Giraffe Omnibed                                  </t>
  </si>
  <si>
    <t xml:space="preserve">neoBLUE cozy LED Phototherapy   </t>
  </si>
  <si>
    <t>Інкубатор GE Incubator Giraffe Omnibed</t>
  </si>
  <si>
    <t xml:space="preserve">Апарат ШВЛ для новонароджених та дітей DRAGER Babylog VN500 з комплектуючими                                   </t>
  </si>
  <si>
    <t xml:space="preserve">Монітор пацієнта портативний з доступом (12 шт)    </t>
  </si>
  <si>
    <t xml:space="preserve">Набір отоскопів у футлярі  </t>
  </si>
  <si>
    <t xml:space="preserve">Стерилізатор паровий, 39 л (2 шт)                        </t>
  </si>
  <si>
    <t>Набір Embrace Nest Infant Warmer (starter pack, baby trap and warm pack) (конверт з підігрівом) (3 шт)</t>
  </si>
  <si>
    <t>Крісло-реклайнер із шкірозамінника Jeff чорне (2 шт)</t>
  </si>
  <si>
    <t>Інфузійний насос з аксесуарами   (3 шт)</t>
  </si>
  <si>
    <t xml:space="preserve">Отоскоп, набір (3 шт)                 </t>
  </si>
  <si>
    <t>Пульсоксиметр портативний постійний з частотою дихання (2 шт)</t>
  </si>
  <si>
    <t xml:space="preserve">Шприцевий насос з аксесуарами (2 шт)   </t>
  </si>
  <si>
    <t xml:space="preserve">Ваги мати/дитина, 150 кг, на батарейці (3 шт)          </t>
  </si>
  <si>
    <t xml:space="preserve">Сфігроманометр   (13 шт)              </t>
  </si>
  <si>
    <t xml:space="preserve">Отоскоп, набір  (2 шт)    </t>
  </si>
  <si>
    <t xml:space="preserve">Стетоскоп   (8 шт) </t>
  </si>
  <si>
    <t>Стерилізатор паровий, 24 л   (3 шт)</t>
  </si>
  <si>
    <t>Інкубатор для немовлят Embrace Nest Infant Warmer   (6 шт)</t>
  </si>
  <si>
    <t>Оглядове гінекологічне крісло б/в    (2 шт)</t>
  </si>
  <si>
    <t xml:space="preserve">Стетоскоп, бінауральний, повний (3 шт)     </t>
  </si>
  <si>
    <t>1.2.1.</t>
  </si>
  <si>
    <t>зберігання архівної документації</t>
  </si>
  <si>
    <t xml:space="preserve">санітарно-гігієнічне дослідження факторів виробничого середовища </t>
  </si>
  <si>
    <t xml:space="preserve">Кошти орендарів (енергоносії) </t>
  </si>
  <si>
    <t>12</t>
  </si>
  <si>
    <t>2.1.2</t>
  </si>
  <si>
    <t>3.2.</t>
  </si>
  <si>
    <t>3.2.1.</t>
  </si>
  <si>
    <t>3.2.2.</t>
  </si>
  <si>
    <t>9.2.</t>
  </si>
  <si>
    <t>9.2.1.</t>
  </si>
  <si>
    <t>9.2.2.</t>
  </si>
  <si>
    <t>12.1.1.</t>
  </si>
  <si>
    <t>13.1.</t>
  </si>
  <si>
    <t>13.1.1.</t>
  </si>
  <si>
    <t>13.2.</t>
  </si>
  <si>
    <t>13.2.1.</t>
  </si>
  <si>
    <t>14.1.</t>
  </si>
  <si>
    <t>14.1.1.</t>
  </si>
  <si>
    <t>15.1.2.</t>
  </si>
  <si>
    <t>16.1.</t>
  </si>
  <si>
    <t>16.1.1.</t>
  </si>
  <si>
    <t>17.1.</t>
  </si>
  <si>
    <t>17.1.1.</t>
  </si>
  <si>
    <t>17.1.2.</t>
  </si>
  <si>
    <t>17.1.3.</t>
  </si>
  <si>
    <t>17.2.</t>
  </si>
  <si>
    <t>17.2.1.</t>
  </si>
  <si>
    <t>17.2.2.</t>
  </si>
  <si>
    <t>17.3.</t>
  </si>
  <si>
    <t>17.3.1.</t>
  </si>
  <si>
    <t>18.</t>
  </si>
  <si>
    <t>18.1.</t>
  </si>
  <si>
    <t>18.1.1</t>
  </si>
  <si>
    <t>18.2.</t>
  </si>
  <si>
    <t>18.2.1</t>
  </si>
  <si>
    <t>6.1.1</t>
  </si>
  <si>
    <t>6.1.3</t>
  </si>
  <si>
    <t>6.1.4</t>
  </si>
  <si>
    <t>6.1.5</t>
  </si>
  <si>
    <t>12.1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</si>
</sst>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_);_(@_)"/>
    <numFmt numFmtId="179" formatCode="_-* #,##0.0\ _₴_-;\-* #,##0.0\ _₴_-;_-* &quot;-&quot;?\ _₴_-;_-@_-"/>
  </numFmts>
  <fonts count="8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u/>
      <sz val="16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53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2" borderId="0" applyNumberFormat="0" applyBorder="0" applyAlignment="0" applyProtection="0"/>
    <xf numFmtId="0" fontId="1" fillId="2" borderId="0" applyNumberFormat="0" applyBorder="0" applyAlignment="0" applyProtection="0"/>
    <xf numFmtId="0" fontId="24" fillId="3" borderId="0" applyNumberFormat="0" applyBorder="0" applyAlignment="0" applyProtection="0"/>
    <xf numFmtId="0" fontId="1" fillId="3" borderId="0" applyNumberFormat="0" applyBorder="0" applyAlignment="0" applyProtection="0"/>
    <xf numFmtId="0" fontId="24" fillId="4" borderId="0" applyNumberFormat="0" applyBorder="0" applyAlignment="0" applyProtection="0"/>
    <xf numFmtId="0" fontId="1" fillId="4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6" borderId="0" applyNumberFormat="0" applyBorder="0" applyAlignment="0" applyProtection="0"/>
    <xf numFmtId="0" fontId="1" fillId="6" borderId="0" applyNumberFormat="0" applyBorder="0" applyAlignment="0" applyProtection="0"/>
    <xf numFmtId="0" fontId="24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9" borderId="0" applyNumberFormat="0" applyBorder="0" applyAlignment="0" applyProtection="0"/>
    <xf numFmtId="0" fontId="1" fillId="9" borderId="0" applyNumberFormat="0" applyBorder="0" applyAlignment="0" applyProtection="0"/>
    <xf numFmtId="0" fontId="24" fillId="10" borderId="0" applyNumberFormat="0" applyBorder="0" applyAlignment="0" applyProtection="0"/>
    <xf numFmtId="0" fontId="1" fillId="10" borderId="0" applyNumberFormat="0" applyBorder="0" applyAlignment="0" applyProtection="0"/>
    <xf numFmtId="0" fontId="24" fillId="5" borderId="0" applyNumberFormat="0" applyBorder="0" applyAlignment="0" applyProtection="0"/>
    <xf numFmtId="0" fontId="1" fillId="5" borderId="0" applyNumberFormat="0" applyBorder="0" applyAlignment="0" applyProtection="0"/>
    <xf numFmtId="0" fontId="24" fillId="8" borderId="0" applyNumberFormat="0" applyBorder="0" applyAlignment="0" applyProtection="0"/>
    <xf numFmtId="0" fontId="1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5" fillId="12" borderId="0" applyNumberFormat="0" applyBorder="0" applyAlignment="0" applyProtection="0"/>
    <xf numFmtId="0" fontId="7" fillId="12" borderId="0" applyNumberFormat="0" applyBorder="0" applyAlignment="0" applyProtection="0"/>
    <xf numFmtId="0" fontId="25" fillId="9" borderId="0" applyNumberFormat="0" applyBorder="0" applyAlignment="0" applyProtection="0"/>
    <xf numFmtId="0" fontId="7" fillId="9" borderId="0" applyNumberFormat="0" applyBorder="0" applyAlignment="0" applyProtection="0"/>
    <xf numFmtId="0" fontId="25" fillId="10" borderId="0" applyNumberFormat="0" applyBorder="0" applyAlignment="0" applyProtection="0"/>
    <xf numFmtId="0" fontId="7" fillId="10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8" fillId="3" borderId="0" applyNumberFormat="0" applyBorder="0" applyAlignment="0" applyProtection="0"/>
    <xf numFmtId="0" fontId="10" fillId="20" borderId="1" applyNumberFormat="0" applyAlignment="0" applyProtection="0"/>
    <xf numFmtId="0" fontId="15" fillId="21" borderId="2" applyNumberFormat="0" applyAlignment="0" applyProtection="0"/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49" fontId="26" fillId="0" borderId="3">
      <alignment horizontal="center" vertical="center"/>
      <protection locked="0"/>
    </xf>
    <xf numFmtId="165" fontId="5" fillId="0" borderId="0" applyFont="0" applyFill="0" applyBorder="0" applyAlignment="0" applyProtection="0"/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49" fontId="5" fillId="0" borderId="3">
      <alignment horizontal="left" vertical="center"/>
      <protection locked="0"/>
    </xf>
    <xf numFmtId="0" fontId="19" fillId="0" borderId="0" applyNumberFormat="0" applyFill="0" applyBorder="0" applyAlignment="0" applyProtection="0"/>
    <xf numFmtId="171" fontId="27" fillId="0" borderId="0" applyAlignment="0">
      <alignment wrapText="1"/>
    </xf>
    <xf numFmtId="0" fontId="22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7" borderId="1" applyNumberFormat="0" applyAlignment="0" applyProtection="0"/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5" fillId="0" borderId="0" applyNumberFormat="0" applyFont="0" applyAlignment="0">
      <alignment vertical="top" wrapText="1"/>
      <protection locked="0"/>
    </xf>
    <xf numFmtId="49" fontId="29" fillId="22" borderId="7">
      <alignment horizontal="left" vertical="center"/>
      <protection locked="0"/>
    </xf>
    <xf numFmtId="49" fontId="29" fillId="22" borderId="7">
      <alignment horizontal="left" vertical="center"/>
    </xf>
    <xf numFmtId="4" fontId="29" fillId="22" borderId="7">
      <alignment horizontal="right" vertical="center"/>
      <protection locked="0"/>
    </xf>
    <xf numFmtId="4" fontId="29" fillId="22" borderId="7">
      <alignment horizontal="right" vertical="center"/>
    </xf>
    <xf numFmtId="4" fontId="30" fillId="22" borderId="7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  <protection locked="0"/>
    </xf>
    <xf numFmtId="49" fontId="26" fillId="22" borderId="3">
      <alignment horizontal="left" vertical="center"/>
    </xf>
    <xf numFmtId="49" fontId="26" fillId="22" borderId="3">
      <alignment horizontal="left" vertical="center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  <protection locked="0"/>
    </xf>
    <xf numFmtId="4" fontId="26" fillId="22" borderId="3">
      <alignment horizontal="right" vertical="center"/>
    </xf>
    <xf numFmtId="4" fontId="26" fillId="22" borderId="3">
      <alignment horizontal="right" vertical="center"/>
    </xf>
    <xf numFmtId="4" fontId="30" fillId="22" borderId="3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37" fillId="0" borderId="3">
      <alignment horizontal="left" vertical="center"/>
      <protection locked="0"/>
    </xf>
    <xf numFmtId="49" fontId="37" fillId="0" borderId="3">
      <alignment horizontal="left" vertical="center"/>
    </xf>
    <xf numFmtId="49" fontId="38" fillId="0" borderId="3">
      <alignment horizontal="left" vertical="center"/>
      <protection locked="0"/>
    </xf>
    <xf numFmtId="49" fontId="38" fillId="0" borderId="3">
      <alignment horizontal="left" vertical="center"/>
    </xf>
    <xf numFmtId="4" fontId="37" fillId="0" borderId="3">
      <alignment horizontal="right" vertical="center"/>
      <protection locked="0"/>
    </xf>
    <xf numFmtId="4" fontId="37" fillId="0" borderId="3">
      <alignment horizontal="right" vertical="center"/>
    </xf>
    <xf numFmtId="4" fontId="38" fillId="0" borderId="3">
      <alignment horizontal="right" vertical="center"/>
      <protection locked="0"/>
    </xf>
    <xf numFmtId="49" fontId="39" fillId="0" borderId="3">
      <alignment horizontal="left" vertical="center"/>
      <protection locked="0"/>
    </xf>
    <xf numFmtId="49" fontId="39" fillId="0" borderId="3">
      <alignment horizontal="left" vertical="center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" fontId="39" fillId="0" borderId="3">
      <alignment horizontal="right" vertical="center"/>
      <protection locked="0"/>
    </xf>
    <xf numFmtId="4" fontId="39" fillId="0" borderId="3">
      <alignment horizontal="right" vertical="center"/>
    </xf>
    <xf numFmtId="49" fontId="37" fillId="0" borderId="3">
      <alignment horizontal="left" vertical="center"/>
      <protection locked="0"/>
    </xf>
    <xf numFmtId="49" fontId="38" fillId="0" borderId="3">
      <alignment horizontal="left" vertical="center"/>
      <protection locked="0"/>
    </xf>
    <xf numFmtId="4" fontId="37" fillId="0" borderId="3">
      <alignment horizontal="right" vertical="center"/>
      <protection locked="0"/>
    </xf>
    <xf numFmtId="0" fontId="20" fillId="0" borderId="8" applyNumberFormat="0" applyFill="0" applyAlignment="0" applyProtection="0"/>
    <xf numFmtId="0" fontId="17" fillId="23" borderId="0" applyNumberFormat="0" applyBorder="0" applyAlignment="0" applyProtection="0"/>
    <xf numFmtId="0" fontId="5" fillId="0" borderId="0"/>
    <xf numFmtId="0" fontId="5" fillId="0" borderId="0"/>
    <xf numFmtId="0" fontId="5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1" fillId="26" borderId="3">
      <alignment horizontal="right" vertical="center"/>
      <protection locked="0"/>
    </xf>
    <xf numFmtId="4" fontId="41" fillId="27" borderId="3">
      <alignment horizontal="right" vertical="center"/>
      <protection locked="0"/>
    </xf>
    <xf numFmtId="4" fontId="41" fillId="28" borderId="3">
      <alignment horizontal="right" vertical="center"/>
      <protection locked="0"/>
    </xf>
    <xf numFmtId="0" fontId="9" fillId="20" borderId="10" applyNumberFormat="0" applyAlignment="0" applyProtection="0"/>
    <xf numFmtId="49" fontId="26" fillId="0" borderId="3">
      <alignment horizontal="left" vertical="center" wrapText="1"/>
      <protection locked="0"/>
    </xf>
    <xf numFmtId="49" fontId="26" fillId="0" borderId="3">
      <alignment horizontal="left" vertical="center" wrapText="1"/>
      <protection locked="0"/>
    </xf>
    <xf numFmtId="0" fontId="16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5" fillId="16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7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8" borderId="0" applyNumberFormat="0" applyBorder="0" applyAlignment="0" applyProtection="0"/>
    <xf numFmtId="0" fontId="25" fillId="13" borderId="0" applyNumberFormat="0" applyBorder="0" applyAlignment="0" applyProtection="0"/>
    <xf numFmtId="0" fontId="7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4" borderId="0" applyNumberFormat="0" applyBorder="0" applyAlignment="0" applyProtection="0"/>
    <xf numFmtId="0" fontId="25" fillId="19" borderId="0" applyNumberFormat="0" applyBorder="0" applyAlignment="0" applyProtection="0"/>
    <xf numFmtId="0" fontId="7" fillId="19" borderId="0" applyNumberFormat="0" applyBorder="0" applyAlignment="0" applyProtection="0"/>
    <xf numFmtId="0" fontId="42" fillId="7" borderId="1" applyNumberFormat="0" applyAlignment="0" applyProtection="0"/>
    <xf numFmtId="0" fontId="8" fillId="7" borderId="1" applyNumberFormat="0" applyAlignment="0" applyProtection="0"/>
    <xf numFmtId="0" fontId="43" fillId="20" borderId="10" applyNumberFormat="0" applyAlignment="0" applyProtection="0"/>
    <xf numFmtId="0" fontId="9" fillId="20" borderId="10" applyNumberFormat="0" applyAlignment="0" applyProtection="0"/>
    <xf numFmtId="0" fontId="44" fillId="20" borderId="1" applyNumberFormat="0" applyAlignment="0" applyProtection="0"/>
    <xf numFmtId="0" fontId="10" fillId="20" borderId="1" applyNumberFormat="0" applyAlignment="0" applyProtection="0"/>
    <xf numFmtId="172" fontId="5" fillId="0" borderId="0" applyFont="0" applyFill="0" applyBorder="0" applyAlignment="0" applyProtection="0"/>
    <xf numFmtId="0" fontId="45" fillId="0" borderId="4" applyNumberFormat="0" applyFill="0" applyAlignment="0" applyProtection="0"/>
    <xf numFmtId="0" fontId="11" fillId="0" borderId="4" applyNumberFormat="0" applyFill="0" applyAlignment="0" applyProtection="0"/>
    <xf numFmtId="0" fontId="46" fillId="0" borderId="5" applyNumberFormat="0" applyFill="0" applyAlignment="0" applyProtection="0"/>
    <xf numFmtId="0" fontId="12" fillId="0" borderId="5" applyNumberFormat="0" applyFill="0" applyAlignment="0" applyProtection="0"/>
    <xf numFmtId="0" fontId="47" fillId="0" borderId="6" applyNumberFormat="0" applyFill="0" applyAlignment="0" applyProtection="0"/>
    <xf numFmtId="0" fontId="13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14" fillId="0" borderId="11" applyNumberFormat="0" applyFill="0" applyAlignment="0" applyProtection="0"/>
    <xf numFmtId="0" fontId="49" fillId="21" borderId="2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17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61" fillId="0" borderId="0"/>
    <xf numFmtId="0" fontId="5" fillId="0" borderId="0"/>
    <xf numFmtId="0" fontId="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1" fillId="3" borderId="0" applyNumberFormat="0" applyBorder="0" applyAlignment="0" applyProtection="0"/>
    <xf numFmtId="0" fontId="18" fillId="3" borderId="0" applyNumberFormat="0" applyBorder="0" applyAlignment="0" applyProtection="0"/>
    <xf numFmtId="0" fontId="5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5" borderId="9" applyNumberFormat="0" applyFont="0" applyAlignment="0" applyProtection="0"/>
    <xf numFmtId="0" fontId="5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8" applyNumberFormat="0" applyFill="0" applyAlignment="0" applyProtection="0"/>
    <xf numFmtId="0" fontId="20" fillId="0" borderId="8" applyNumberFormat="0" applyFill="0" applyAlignment="0" applyProtection="0"/>
    <xf numFmtId="0" fontId="23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73" fontId="57" fillId="0" borderId="0" applyFont="0" applyFill="0" applyBorder="0" applyAlignment="0" applyProtection="0"/>
    <xf numFmtId="174" fontId="5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8" fillId="4" borderId="0" applyNumberFormat="0" applyBorder="0" applyAlignment="0" applyProtection="0"/>
    <xf numFmtId="0" fontId="22" fillId="4" borderId="0" applyNumberFormat="0" applyBorder="0" applyAlignment="0" applyProtection="0"/>
    <xf numFmtId="176" fontId="59" fillId="22" borderId="12" applyFill="0" applyBorder="0">
      <alignment horizontal="center" vertical="center" wrapText="1"/>
      <protection locked="0"/>
    </xf>
    <xf numFmtId="171" fontId="60" fillId="0" borderId="0">
      <alignment wrapText="1"/>
    </xf>
    <xf numFmtId="171" fontId="27" fillId="0" borderId="0">
      <alignment wrapText="1"/>
    </xf>
  </cellStyleXfs>
  <cellXfs count="267">
    <xf numFmtId="0" fontId="0" fillId="0" borderId="0" xfId="0"/>
    <xf numFmtId="178" fontId="66" fillId="29" borderId="3" xfId="0" applyNumberFormat="1" applyFont="1" applyFill="1" applyBorder="1" applyAlignment="1">
      <alignment horizontal="center" vertical="center" wrapText="1"/>
    </xf>
    <xf numFmtId="170" fontId="66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 shrinkToFit="1"/>
    </xf>
    <xf numFmtId="0" fontId="66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/>
    </xf>
    <xf numFmtId="178" fontId="62" fillId="29" borderId="3" xfId="0" applyNumberFormat="1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 wrapText="1"/>
    </xf>
    <xf numFmtId="49" fontId="66" fillId="29" borderId="3" xfId="0" applyNumberFormat="1" applyFont="1" applyFill="1" applyBorder="1" applyAlignment="1">
      <alignment horizontal="center" vertical="center"/>
    </xf>
    <xf numFmtId="177" fontId="66" fillId="29" borderId="3" xfId="0" applyNumberFormat="1" applyFont="1" applyFill="1" applyBorder="1" applyAlignment="1">
      <alignment horizontal="center" vertical="center" wrapText="1"/>
    </xf>
    <xf numFmtId="177" fontId="62" fillId="29" borderId="3" xfId="0" applyNumberFormat="1" applyFont="1" applyFill="1" applyBorder="1" applyAlignment="1">
      <alignment horizontal="center" vertical="center" wrapText="1"/>
    </xf>
    <xf numFmtId="170" fontId="62" fillId="29" borderId="3" xfId="0" applyNumberFormat="1" applyFont="1" applyFill="1" applyBorder="1" applyAlignment="1">
      <alignment horizontal="center" vertical="center" wrapText="1"/>
    </xf>
    <xf numFmtId="0" fontId="62" fillId="0" borderId="0" xfId="0" applyFont="1" applyFill="1" applyAlignment="1">
      <alignment vertical="center"/>
    </xf>
    <xf numFmtId="178" fontId="63" fillId="29" borderId="3" xfId="0" applyNumberFormat="1" applyFont="1" applyFill="1" applyBorder="1" applyAlignment="1">
      <alignment horizontal="center" vertical="center" wrapText="1"/>
    </xf>
    <xf numFmtId="178" fontId="65" fillId="29" borderId="3" xfId="0" applyNumberFormat="1" applyFont="1" applyFill="1" applyBorder="1" applyAlignment="1">
      <alignment horizontal="center" vertical="center" wrapText="1"/>
    </xf>
    <xf numFmtId="0" fontId="65" fillId="29" borderId="0" xfId="0" quotePrefix="1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/>
    </xf>
    <xf numFmtId="178" fontId="65" fillId="29" borderId="0" xfId="0" applyNumberFormat="1" applyFont="1" applyFill="1" applyBorder="1" applyAlignment="1">
      <alignment horizontal="center" vertical="center" wrapText="1"/>
    </xf>
    <xf numFmtId="178" fontId="64" fillId="29" borderId="3" xfId="0" applyNumberFormat="1" applyFont="1" applyFill="1" applyBorder="1" applyAlignment="1">
      <alignment horizontal="center" vertical="center" wrapText="1"/>
    </xf>
    <xf numFmtId="178" fontId="65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right" vertical="center"/>
    </xf>
    <xf numFmtId="0" fontId="62" fillId="29" borderId="0" xfId="0" applyFont="1" applyFill="1" applyAlignment="1">
      <alignment vertical="center"/>
    </xf>
    <xf numFmtId="0" fontId="66" fillId="29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62" fillId="29" borderId="13" xfId="0" applyFont="1" applyFill="1" applyBorder="1" applyAlignment="1">
      <alignment vertical="center"/>
    </xf>
    <xf numFmtId="0" fontId="62" fillId="29" borderId="13" xfId="0" applyFont="1" applyFill="1" applyBorder="1" applyAlignment="1">
      <alignment horizontal="center" vertical="center"/>
    </xf>
    <xf numFmtId="0" fontId="62" fillId="29" borderId="0" xfId="0" applyFont="1" applyFill="1" applyBorder="1" applyAlignment="1">
      <alignment horizontal="center" vertical="center" wrapText="1"/>
    </xf>
    <xf numFmtId="169" fontId="62" fillId="29" borderId="0" xfId="0" applyNumberFormat="1" applyFont="1" applyFill="1" applyBorder="1" applyAlignment="1">
      <alignment horizontal="center" vertical="center" wrapText="1"/>
    </xf>
    <xf numFmtId="0" fontId="66" fillId="29" borderId="0" xfId="0" applyFont="1" applyFill="1" applyBorder="1" applyAlignment="1">
      <alignment horizontal="right" vertical="center"/>
    </xf>
    <xf numFmtId="169" fontId="66" fillId="29" borderId="0" xfId="0" applyNumberFormat="1" applyFont="1" applyFill="1" applyBorder="1" applyAlignment="1">
      <alignment horizontal="right" vertical="center"/>
    </xf>
    <xf numFmtId="0" fontId="62" fillId="29" borderId="0" xfId="0" applyFont="1" applyFill="1" applyAlignment="1">
      <alignment horizontal="center" vertical="center"/>
    </xf>
    <xf numFmtId="0" fontId="62" fillId="29" borderId="0" xfId="0" applyFont="1" applyFill="1" applyAlignment="1"/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Border="1" applyAlignment="1"/>
    <xf numFmtId="0" fontId="62" fillId="0" borderId="0" xfId="0" applyFont="1" applyFill="1" applyAlignment="1"/>
    <xf numFmtId="0" fontId="68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vertical="center" wrapText="1" shrinkToFit="1"/>
    </xf>
    <xf numFmtId="0" fontId="62" fillId="29" borderId="0" xfId="0" applyFont="1" applyFill="1" applyBorder="1" applyAlignment="1">
      <alignment vertical="center" wrapText="1" shrinkToFit="1"/>
    </xf>
    <xf numFmtId="0" fontId="73" fillId="0" borderId="0" xfId="0" applyFont="1" applyFill="1" applyAlignment="1">
      <alignment vertical="center"/>
    </xf>
    <xf numFmtId="178" fontId="75" fillId="29" borderId="3" xfId="0" applyNumberFormat="1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62" fillId="29" borderId="18" xfId="0" applyFont="1" applyFill="1" applyBorder="1" applyAlignment="1">
      <alignment horizontal="center" vertical="center"/>
    </xf>
    <xf numFmtId="0" fontId="62" fillId="22" borderId="17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vertical="center"/>
    </xf>
    <xf numFmtId="0" fontId="65" fillId="29" borderId="0" xfId="0" applyFont="1" applyFill="1" applyBorder="1" applyAlignment="1">
      <alignment horizontal="left" vertical="center" wrapText="1"/>
    </xf>
    <xf numFmtId="170" fontId="65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vertical="center"/>
    </xf>
    <xf numFmtId="0" fontId="75" fillId="29" borderId="3" xfId="0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vertical="center" wrapText="1"/>
    </xf>
    <xf numFmtId="0" fontId="62" fillId="29" borderId="0" xfId="0" applyFont="1" applyFill="1" applyBorder="1" applyAlignment="1">
      <alignment vertical="center"/>
    </xf>
    <xf numFmtId="0" fontId="68" fillId="29" borderId="0" xfId="0" applyFont="1" applyFill="1" applyAlignment="1">
      <alignment horizontal="center" vertical="center"/>
    </xf>
    <xf numFmtId="0" fontId="66" fillId="29" borderId="0" xfId="0" applyFont="1" applyFill="1" applyBorder="1" applyAlignment="1" applyProtection="1">
      <alignment horizontal="left" vertical="center"/>
      <protection locked="0"/>
    </xf>
    <xf numFmtId="170" fontId="66" fillId="29" borderId="0" xfId="0" applyNumberFormat="1" applyFont="1" applyFill="1" applyBorder="1" applyAlignment="1">
      <alignment horizontal="center" vertical="center" wrapText="1"/>
    </xf>
    <xf numFmtId="170" fontId="66" fillId="29" borderId="0" xfId="0" applyNumberFormat="1" applyFont="1" applyFill="1" applyBorder="1" applyAlignment="1">
      <alignment horizontal="right" vertical="center" wrapText="1"/>
    </xf>
    <xf numFmtId="170" fontId="62" fillId="29" borderId="0" xfId="0" applyNumberFormat="1" applyFont="1" applyFill="1" applyBorder="1" applyAlignment="1">
      <alignment horizontal="center" vertical="center" wrapText="1"/>
    </xf>
    <xf numFmtId="0" fontId="62" fillId="29" borderId="0" xfId="0" quotePrefix="1" applyFont="1" applyFill="1" applyBorder="1" applyAlignment="1">
      <alignment horizontal="center" vertical="center"/>
    </xf>
    <xf numFmtId="170" fontId="68" fillId="29" borderId="0" xfId="0" applyNumberFormat="1" applyFont="1" applyFill="1" applyBorder="1" applyAlignment="1">
      <alignment vertical="center"/>
    </xf>
    <xf numFmtId="0" fontId="62" fillId="29" borderId="0" xfId="0" applyFont="1" applyFill="1" applyBorder="1" applyAlignment="1">
      <alignment vertical="center" wrapText="1"/>
    </xf>
    <xf numFmtId="169" fontId="62" fillId="29" borderId="0" xfId="0" applyNumberFormat="1" applyFont="1" applyFill="1" applyBorder="1" applyAlignment="1">
      <alignment vertical="center"/>
    </xf>
    <xf numFmtId="170" fontId="62" fillId="29" borderId="3" xfId="0" applyNumberFormat="1" applyFont="1" applyFill="1" applyBorder="1" applyAlignment="1">
      <alignment horizontal="right" vertical="center" wrapText="1"/>
    </xf>
    <xf numFmtId="179" fontId="62" fillId="29" borderId="0" xfId="0" applyNumberFormat="1" applyFont="1" applyFill="1" applyBorder="1" applyAlignment="1">
      <alignment vertical="center"/>
    </xf>
    <xf numFmtId="177" fontId="62" fillId="29" borderId="0" xfId="0" applyNumberFormat="1" applyFont="1" applyFill="1" applyBorder="1" applyAlignment="1">
      <alignment vertical="center"/>
    </xf>
    <xf numFmtId="0" fontId="70" fillId="29" borderId="0" xfId="0" applyFont="1" applyFill="1" applyBorder="1" applyAlignment="1">
      <alignment horizontal="center" wrapText="1"/>
    </xf>
    <xf numFmtId="0" fontId="75" fillId="29" borderId="3" xfId="0" applyFont="1" applyFill="1" applyBorder="1" applyAlignment="1">
      <alignment horizontal="left" vertical="center" wrapText="1"/>
    </xf>
    <xf numFmtId="178" fontId="84" fillId="29" borderId="3" xfId="0" applyNumberFormat="1" applyFont="1" applyFill="1" applyBorder="1" applyAlignment="1">
      <alignment horizontal="center" vertical="center" wrapText="1"/>
    </xf>
    <xf numFmtId="178" fontId="85" fillId="29" borderId="3" xfId="0" applyNumberFormat="1" applyFont="1" applyFill="1" applyBorder="1" applyAlignment="1">
      <alignment horizontal="center" vertical="center" wrapText="1"/>
    </xf>
    <xf numFmtId="0" fontId="66" fillId="29" borderId="3" xfId="182" applyFont="1" applyFill="1" applyBorder="1" applyAlignment="1">
      <alignment vertical="center" wrapText="1"/>
      <protection locked="0"/>
    </xf>
    <xf numFmtId="0" fontId="62" fillId="29" borderId="3" xfId="0" applyFont="1" applyFill="1" applyBorder="1" applyAlignment="1">
      <alignment horizontal="left" vertical="center" wrapText="1"/>
    </xf>
    <xf numFmtId="0" fontId="62" fillId="29" borderId="3" xfId="182" applyFont="1" applyFill="1" applyBorder="1" applyAlignment="1">
      <alignment vertical="center" wrapText="1"/>
      <protection locked="0"/>
    </xf>
    <xf numFmtId="0" fontId="66" fillId="29" borderId="3" xfId="0" applyFont="1" applyFill="1" applyBorder="1" applyAlignment="1">
      <alignment horizontal="left" vertical="center" wrapText="1"/>
    </xf>
    <xf numFmtId="0" fontId="66" fillId="29" borderId="3" xfId="245" applyFont="1" applyFill="1" applyBorder="1" applyAlignment="1">
      <alignment horizontal="left" vertical="center" wrapText="1"/>
    </xf>
    <xf numFmtId="0" fontId="62" fillId="29" borderId="3" xfId="245" applyFont="1" applyFill="1" applyBorder="1" applyAlignment="1">
      <alignment horizontal="left" vertical="center" wrapText="1"/>
    </xf>
    <xf numFmtId="0" fontId="66" fillId="29" borderId="3" xfId="0" applyFont="1" applyFill="1" applyBorder="1" applyAlignment="1" applyProtection="1">
      <alignment horizontal="left" vertical="center" wrapText="1"/>
      <protection locked="0"/>
    </xf>
    <xf numFmtId="178" fontId="81" fillId="29" borderId="3" xfId="0" applyNumberFormat="1" applyFont="1" applyFill="1" applyBorder="1" applyAlignment="1">
      <alignment vertical="center"/>
    </xf>
    <xf numFmtId="178" fontId="83" fillId="29" borderId="3" xfId="0" applyNumberFormat="1" applyFont="1" applyFill="1" applyBorder="1" applyAlignment="1">
      <alignment vertical="center"/>
    </xf>
    <xf numFmtId="0" fontId="65" fillId="29" borderId="0" xfId="0" applyFont="1" applyFill="1" applyBorder="1" applyAlignment="1">
      <alignment horizontal="center" vertical="center"/>
    </xf>
    <xf numFmtId="0" fontId="65" fillId="29" borderId="0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left" vertical="center" wrapText="1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0" xfId="0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horizontal="center" vertical="center" wrapText="1"/>
    </xf>
    <xf numFmtId="0" fontId="86" fillId="29" borderId="0" xfId="0" applyFont="1" applyFill="1" applyBorder="1" applyAlignment="1" applyProtection="1">
      <alignment horizontal="left" vertical="center" wrapText="1"/>
      <protection locked="0"/>
    </xf>
    <xf numFmtId="49" fontId="86" fillId="29" borderId="0" xfId="0" applyNumberFormat="1" applyFont="1" applyFill="1" applyBorder="1" applyAlignment="1">
      <alignment horizontal="center" vertical="center"/>
    </xf>
    <xf numFmtId="177" fontId="86" fillId="29" borderId="0" xfId="0" applyNumberFormat="1" applyFont="1" applyFill="1" applyBorder="1" applyAlignment="1">
      <alignment horizontal="center" vertical="center" wrapText="1"/>
    </xf>
    <xf numFmtId="0" fontId="87" fillId="29" borderId="0" xfId="182" applyFont="1" applyFill="1" applyBorder="1" applyAlignment="1">
      <alignment vertical="center" wrapText="1"/>
      <protection locked="0"/>
    </xf>
    <xf numFmtId="0" fontId="87" fillId="29" borderId="0" xfId="0" applyFont="1" applyFill="1" applyBorder="1" applyAlignment="1">
      <alignment horizontal="center" vertical="center"/>
    </xf>
    <xf numFmtId="177" fontId="87" fillId="29" borderId="0" xfId="0" applyNumberFormat="1" applyFont="1" applyFill="1" applyBorder="1" applyAlignment="1">
      <alignment horizontal="center" vertical="center" wrapText="1"/>
    </xf>
    <xf numFmtId="0" fontId="86" fillId="29" borderId="0" xfId="182" applyFont="1" applyFill="1" applyBorder="1" applyAlignment="1">
      <alignment vertical="center" wrapText="1"/>
      <protection locked="0"/>
    </xf>
    <xf numFmtId="0" fontId="86" fillId="29" borderId="0" xfId="0" applyFont="1" applyFill="1" applyBorder="1" applyAlignment="1">
      <alignment horizontal="center" vertical="center"/>
    </xf>
    <xf numFmtId="178" fontId="86" fillId="29" borderId="0" xfId="0" applyNumberFormat="1" applyFont="1" applyFill="1" applyBorder="1" applyAlignment="1">
      <alignment horizontal="center" vertical="center" wrapText="1"/>
    </xf>
    <xf numFmtId="178" fontId="87" fillId="29" borderId="0" xfId="0" applyNumberFormat="1" applyFont="1" applyFill="1" applyBorder="1" applyAlignment="1">
      <alignment horizontal="center" vertical="center" wrapText="1"/>
    </xf>
    <xf numFmtId="0" fontId="65" fillId="29" borderId="13" xfId="0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center" vertical="center" wrapText="1" shrinkToFit="1"/>
    </xf>
    <xf numFmtId="0" fontId="65" fillId="29" borderId="3" xfId="0" applyFont="1" applyFill="1" applyBorder="1"/>
    <xf numFmtId="0" fontId="64" fillId="29" borderId="3" xfId="0" applyFont="1" applyFill="1" applyBorder="1" applyAlignment="1">
      <alignment horizontal="center" vertical="center" wrapText="1"/>
    </xf>
    <xf numFmtId="0" fontId="65" fillId="29" borderId="3" xfId="0" applyFont="1" applyFill="1" applyBorder="1" applyAlignment="1">
      <alignment wrapText="1"/>
    </xf>
    <xf numFmtId="0" fontId="75" fillId="29" borderId="3" xfId="0" quotePrefix="1" applyFont="1" applyFill="1" applyBorder="1" applyAlignment="1">
      <alignment horizontal="center" vertical="center"/>
    </xf>
    <xf numFmtId="0" fontId="65" fillId="29" borderId="3" xfId="0" quotePrefix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horizontal="left" vertical="center"/>
    </xf>
    <xf numFmtId="179" fontId="63" fillId="29" borderId="0" xfId="0" applyNumberFormat="1" applyFont="1" applyFill="1" applyBorder="1" applyAlignment="1">
      <alignment vertical="center"/>
    </xf>
    <xf numFmtId="0" fontId="65" fillId="29" borderId="15" xfId="0" applyFont="1" applyFill="1" applyBorder="1" applyAlignment="1"/>
    <xf numFmtId="0" fontId="65" fillId="29" borderId="14" xfId="0" applyFont="1" applyFill="1" applyBorder="1" applyAlignment="1"/>
    <xf numFmtId="0" fontId="65" fillId="29" borderId="16" xfId="0" applyFont="1" applyFill="1" applyBorder="1" applyAlignment="1"/>
    <xf numFmtId="0" fontId="66" fillId="29" borderId="3" xfId="0" applyFont="1" applyFill="1" applyBorder="1" applyAlignment="1">
      <alignment horizontal="center" vertical="center" wrapText="1"/>
    </xf>
    <xf numFmtId="49" fontId="64" fillId="29" borderId="3" xfId="0" applyNumberFormat="1" applyFont="1" applyFill="1" applyBorder="1" applyAlignment="1">
      <alignment horizontal="center" vertical="center"/>
    </xf>
    <xf numFmtId="178" fontId="63" fillId="29" borderId="3" xfId="0" applyNumberFormat="1" applyFont="1" applyFill="1" applyBorder="1" applyAlignment="1">
      <alignment horizontal="center" vertical="center"/>
    </xf>
    <xf numFmtId="49" fontId="63" fillId="29" borderId="3" xfId="0" applyNumberFormat="1" applyFont="1" applyFill="1" applyBorder="1" applyAlignment="1">
      <alignment horizontal="center" vertical="center"/>
    </xf>
    <xf numFmtId="49" fontId="75" fillId="29" borderId="3" xfId="0" applyNumberFormat="1" applyFont="1" applyFill="1" applyBorder="1" applyAlignment="1">
      <alignment horizontal="center" vertical="center"/>
    </xf>
    <xf numFmtId="178" fontId="75" fillId="29" borderId="3" xfId="0" applyNumberFormat="1" applyFont="1" applyFill="1" applyBorder="1" applyAlignment="1">
      <alignment horizontal="center" vertical="center"/>
    </xf>
    <xf numFmtId="0" fontId="65" fillId="29" borderId="3" xfId="0" applyFont="1" applyFill="1" applyBorder="1" applyAlignment="1">
      <alignment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6" fillId="29" borderId="15" xfId="0" applyFont="1" applyFill="1" applyBorder="1" applyAlignment="1">
      <alignment horizontal="center" vertical="center" wrapText="1"/>
    </xf>
    <xf numFmtId="49" fontId="76" fillId="29" borderId="3" xfId="0" applyNumberFormat="1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left" vertical="center"/>
    </xf>
    <xf numFmtId="0" fontId="78" fillId="29" borderId="3" xfId="0" applyFont="1" applyFill="1" applyBorder="1" applyAlignment="1">
      <alignment horizontal="center" vertical="center" wrapText="1"/>
    </xf>
    <xf numFmtId="178" fontId="83" fillId="29" borderId="3" xfId="0" applyNumberFormat="1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left" vertical="center" wrapText="1"/>
    </xf>
    <xf numFmtId="0" fontId="76" fillId="29" borderId="3" xfId="0" applyFont="1" applyFill="1" applyBorder="1" applyAlignment="1">
      <alignment horizontal="center" vertical="center" wrapText="1"/>
    </xf>
    <xf numFmtId="49" fontId="79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vertical="center" wrapText="1"/>
    </xf>
    <xf numFmtId="0" fontId="79" fillId="29" borderId="3" xfId="0" applyFont="1" applyFill="1" applyBorder="1" applyAlignment="1">
      <alignment horizontal="center" vertical="center" wrapText="1"/>
    </xf>
    <xf numFmtId="49" fontId="78" fillId="29" borderId="3" xfId="0" applyNumberFormat="1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horizontal="left" vertical="center" wrapText="1"/>
    </xf>
    <xf numFmtId="178" fontId="65" fillId="29" borderId="3" xfId="0" applyNumberFormat="1" applyFont="1" applyFill="1" applyBorder="1" applyAlignment="1">
      <alignment horizontal="center" vertical="center"/>
    </xf>
    <xf numFmtId="178" fontId="81" fillId="29" borderId="3" xfId="0" applyNumberFormat="1" applyFont="1" applyFill="1" applyBorder="1" applyAlignment="1">
      <alignment horizontal="center" vertical="center"/>
    </xf>
    <xf numFmtId="0" fontId="75" fillId="29" borderId="3" xfId="0" applyFont="1" applyFill="1" applyBorder="1" applyAlignment="1">
      <alignment vertical="center" wrapText="1"/>
    </xf>
    <xf numFmtId="0" fontId="76" fillId="29" borderId="3" xfId="0" applyFont="1" applyFill="1" applyBorder="1" applyAlignment="1">
      <alignment vertical="center" wrapText="1"/>
    </xf>
    <xf numFmtId="0" fontId="78" fillId="29" borderId="3" xfId="0" applyFont="1" applyFill="1" applyBorder="1" applyAlignment="1">
      <alignment vertical="center"/>
    </xf>
    <xf numFmtId="0" fontId="78" fillId="0" borderId="3" xfId="0" applyFont="1" applyBorder="1" applyAlignment="1">
      <alignment wrapText="1"/>
    </xf>
    <xf numFmtId="0" fontId="78" fillId="29" borderId="3" xfId="0" applyFont="1" applyFill="1" applyBorder="1" applyAlignment="1">
      <alignment wrapText="1"/>
    </xf>
    <xf numFmtId="0" fontId="78" fillId="29" borderId="3" xfId="0" applyFont="1" applyFill="1" applyBorder="1"/>
    <xf numFmtId="0" fontId="78" fillId="0" borderId="3" xfId="0" applyFont="1" applyBorder="1"/>
    <xf numFmtId="178" fontId="83" fillId="29" borderId="3" xfId="0" applyNumberFormat="1" applyFont="1" applyFill="1" applyBorder="1" applyAlignment="1">
      <alignment horizontal="center" vertical="center" wrapText="1"/>
    </xf>
    <xf numFmtId="178" fontId="81" fillId="29" borderId="3" xfId="0" applyNumberFormat="1" applyFont="1" applyFill="1" applyBorder="1" applyAlignment="1">
      <alignment horizontal="center" vertical="center" wrapText="1"/>
    </xf>
    <xf numFmtId="179" fontId="62" fillId="29" borderId="0" xfId="0" applyNumberFormat="1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2" fillId="29" borderId="0" xfId="0" applyFont="1" applyFill="1" applyAlignment="1">
      <alignment horizontal="center" vertical="center"/>
    </xf>
    <xf numFmtId="0" fontId="77" fillId="29" borderId="3" xfId="0" applyFont="1" applyFill="1" applyBorder="1" applyAlignment="1">
      <alignment horizontal="left" vertical="center" wrapText="1"/>
    </xf>
    <xf numFmtId="0" fontId="66" fillId="0" borderId="0" xfId="0" applyFont="1" applyFill="1" applyAlignment="1">
      <alignment vertical="center"/>
    </xf>
    <xf numFmtId="178" fontId="63" fillId="29" borderId="0" xfId="0" applyNumberFormat="1" applyFont="1" applyFill="1" applyBorder="1" applyAlignment="1">
      <alignment horizontal="center" vertical="center" wrapText="1"/>
    </xf>
    <xf numFmtId="170" fontId="63" fillId="29" borderId="0" xfId="0" applyNumberFormat="1" applyFont="1" applyFill="1" applyBorder="1" applyAlignment="1">
      <alignment horizontal="right" vertical="center" wrapText="1"/>
    </xf>
    <xf numFmtId="0" fontId="63" fillId="29" borderId="0" xfId="0" applyFont="1" applyFill="1" applyBorder="1" applyAlignment="1">
      <alignment horizontal="center" vertical="center"/>
    </xf>
    <xf numFmtId="0" fontId="66" fillId="29" borderId="3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0" fontId="67" fillId="29" borderId="3" xfId="0" applyFont="1" applyFill="1" applyBorder="1" applyAlignment="1">
      <alignment horizontal="center" vertical="center"/>
    </xf>
    <xf numFmtId="0" fontId="69" fillId="29" borderId="0" xfId="0" applyFont="1" applyFill="1" applyBorder="1" applyAlignment="1">
      <alignment horizontal="center" wrapText="1"/>
    </xf>
    <xf numFmtId="0" fontId="62" fillId="29" borderId="0" xfId="0" applyFont="1" applyFill="1" applyAlignment="1">
      <alignment horizontal="center" vertical="center"/>
    </xf>
    <xf numFmtId="179" fontId="65" fillId="29" borderId="0" xfId="0" applyNumberFormat="1" applyFont="1" applyFill="1" applyBorder="1" applyAlignment="1">
      <alignment vertical="center"/>
    </xf>
    <xf numFmtId="0" fontId="65" fillId="29" borderId="3" xfId="0" applyFont="1" applyFill="1" applyBorder="1" applyAlignment="1">
      <alignment vertical="center"/>
    </xf>
    <xf numFmtId="170" fontId="63" fillId="29" borderId="0" xfId="0" applyNumberFormat="1" applyFont="1" applyFill="1" applyBorder="1" applyAlignment="1">
      <alignment vertical="center"/>
    </xf>
    <xf numFmtId="179" fontId="63" fillId="29" borderId="0" xfId="0" applyNumberFormat="1" applyFont="1" applyFill="1" applyBorder="1" applyAlignment="1">
      <alignment horizontal="center" vertical="center"/>
    </xf>
    <xf numFmtId="179" fontId="63" fillId="29" borderId="3" xfId="0" applyNumberFormat="1" applyFont="1" applyFill="1" applyBorder="1" applyAlignment="1">
      <alignment horizontal="center" vertical="center" wrapText="1"/>
    </xf>
    <xf numFmtId="170" fontId="65" fillId="29" borderId="0" xfId="0" applyNumberFormat="1" applyFont="1" applyFill="1" applyBorder="1" applyAlignment="1">
      <alignment vertical="center" shrinkToFit="1"/>
    </xf>
    <xf numFmtId="178" fontId="63" fillId="29" borderId="0" xfId="0" applyNumberFormat="1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vertical="center" wrapText="1"/>
    </xf>
    <xf numFmtId="178" fontId="65" fillId="29" borderId="0" xfId="0" applyNumberFormat="1" applyFont="1" applyFill="1" applyBorder="1" applyAlignment="1">
      <alignment horizontal="center" vertical="center"/>
    </xf>
    <xf numFmtId="0" fontId="64" fillId="29" borderId="3" xfId="0" applyFont="1" applyFill="1" applyBorder="1" applyAlignment="1">
      <alignment horizontal="left" vertical="center"/>
    </xf>
    <xf numFmtId="0" fontId="63" fillId="29" borderId="0" xfId="0" applyNumberFormat="1" applyFont="1" applyFill="1" applyBorder="1" applyAlignment="1">
      <alignment vertical="center"/>
    </xf>
    <xf numFmtId="178" fontId="63" fillId="29" borderId="0" xfId="0" applyNumberFormat="1" applyFont="1" applyFill="1" applyBorder="1" applyAlignment="1">
      <alignment vertical="center"/>
    </xf>
    <xf numFmtId="170" fontId="65" fillId="29" borderId="0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 wrapText="1"/>
    </xf>
    <xf numFmtId="170" fontId="65" fillId="29" borderId="0" xfId="0" applyNumberFormat="1" applyFont="1" applyFill="1" applyBorder="1" applyAlignment="1">
      <alignment vertical="center"/>
    </xf>
    <xf numFmtId="49" fontId="77" fillId="29" borderId="3" xfId="0" applyNumberFormat="1" applyFont="1" applyFill="1" applyBorder="1" applyAlignment="1">
      <alignment horizontal="center" vertical="center"/>
    </xf>
    <xf numFmtId="170" fontId="63" fillId="29" borderId="0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center" vertical="center"/>
    </xf>
    <xf numFmtId="178" fontId="82" fillId="29" borderId="3" xfId="0" applyNumberFormat="1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vertical="center"/>
    </xf>
    <xf numFmtId="0" fontId="78" fillId="29" borderId="3" xfId="0" applyFont="1" applyFill="1" applyBorder="1" applyAlignment="1">
      <alignment horizontal="center" vertical="center"/>
    </xf>
    <xf numFmtId="170" fontId="65" fillId="29" borderId="0" xfId="0" applyNumberFormat="1" applyFont="1" applyFill="1" applyBorder="1" applyAlignment="1">
      <alignment horizontal="center"/>
    </xf>
    <xf numFmtId="178" fontId="65" fillId="29" borderId="0" xfId="0" applyNumberFormat="1" applyFont="1" applyFill="1" applyBorder="1" applyAlignment="1">
      <alignment horizontal="center"/>
    </xf>
    <xf numFmtId="179" fontId="65" fillId="29" borderId="0" xfId="0" applyNumberFormat="1" applyFont="1" applyFill="1" applyBorder="1" applyAlignment="1">
      <alignment horizontal="center"/>
    </xf>
    <xf numFmtId="0" fontId="63" fillId="29" borderId="3" xfId="0" applyFont="1" applyFill="1" applyBorder="1" applyAlignment="1">
      <alignment horizontal="left" vertical="center"/>
    </xf>
    <xf numFmtId="169" fontId="65" fillId="29" borderId="0" xfId="0" applyNumberFormat="1" applyFont="1" applyFill="1" applyBorder="1" applyAlignment="1">
      <alignment vertical="center"/>
    </xf>
    <xf numFmtId="0" fontId="63" fillId="29" borderId="3" xfId="0" applyFont="1" applyFill="1" applyBorder="1" applyAlignment="1">
      <alignment horizontal="center" vertical="center"/>
    </xf>
    <xf numFmtId="0" fontId="76" fillId="29" borderId="3" xfId="0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center" vertical="center"/>
    </xf>
    <xf numFmtId="0" fontId="78" fillId="29" borderId="15" xfId="0" applyFont="1" applyFill="1" applyBorder="1" applyAlignment="1">
      <alignment horizontal="left" vertical="center" wrapText="1"/>
    </xf>
    <xf numFmtId="0" fontId="79" fillId="29" borderId="15" xfId="0" applyFont="1" applyFill="1" applyBorder="1" applyAlignment="1">
      <alignment vertical="center"/>
    </xf>
    <xf numFmtId="0" fontId="22" fillId="29" borderId="0" xfId="349" applyFill="1" applyBorder="1" applyAlignment="1">
      <alignment vertical="center"/>
    </xf>
    <xf numFmtId="0" fontId="78" fillId="29" borderId="3" xfId="0" applyFont="1" applyFill="1" applyBorder="1" applyAlignment="1">
      <alignment vertical="center" wrapText="1"/>
    </xf>
    <xf numFmtId="0" fontId="78" fillId="29" borderId="15" xfId="0" applyFont="1" applyFill="1" applyBorder="1" applyAlignment="1">
      <alignment vertical="center" wrapText="1"/>
    </xf>
    <xf numFmtId="0" fontId="78" fillId="29" borderId="15" xfId="0" applyFont="1" applyFill="1" applyBorder="1" applyAlignment="1">
      <alignment vertical="center"/>
    </xf>
    <xf numFmtId="0" fontId="79" fillId="29" borderId="15" xfId="0" applyFont="1" applyFill="1" applyBorder="1" applyAlignment="1">
      <alignment vertical="center" wrapText="1"/>
    </xf>
    <xf numFmtId="0" fontId="78" fillId="29" borderId="3" xfId="0" applyFont="1" applyFill="1" applyBorder="1" applyAlignment="1">
      <alignment horizontal="left" vertical="center"/>
    </xf>
    <xf numFmtId="0" fontId="76" fillId="29" borderId="3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horizontal="left" vertical="center"/>
    </xf>
    <xf numFmtId="0" fontId="78" fillId="29" borderId="13" xfId="0" applyFont="1" applyFill="1" applyBorder="1" applyAlignment="1">
      <alignment horizontal="left" vertical="center" wrapText="1"/>
    </xf>
    <xf numFmtId="0" fontId="79" fillId="29" borderId="3" xfId="0" applyFont="1" applyFill="1" applyBorder="1" applyAlignment="1">
      <alignment vertical="center"/>
    </xf>
    <xf numFmtId="0" fontId="75" fillId="29" borderId="3" xfId="0" applyFont="1" applyFill="1" applyBorder="1" applyAlignment="1">
      <alignment horizontal="left" vertical="center"/>
    </xf>
    <xf numFmtId="49" fontId="65" fillId="29" borderId="3" xfId="0" applyNumberFormat="1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center" vertical="center" wrapText="1"/>
    </xf>
    <xf numFmtId="0" fontId="76" fillId="29" borderId="3" xfId="0" applyFont="1" applyFill="1" applyBorder="1" applyAlignment="1">
      <alignment vertical="center"/>
    </xf>
    <xf numFmtId="0" fontId="77" fillId="29" borderId="3" xfId="0" applyFont="1" applyFill="1" applyBorder="1" applyAlignment="1">
      <alignment vertical="center"/>
    </xf>
    <xf numFmtId="178" fontId="64" fillId="29" borderId="3" xfId="0" applyNumberFormat="1" applyFont="1" applyFill="1" applyBorder="1" applyAlignment="1">
      <alignment horizontal="center" vertical="center"/>
    </xf>
    <xf numFmtId="170" fontId="65" fillId="29" borderId="3" xfId="0" applyNumberFormat="1" applyFont="1" applyFill="1" applyBorder="1" applyAlignment="1">
      <alignment horizontal="right" vertical="center" wrapText="1"/>
    </xf>
    <xf numFmtId="178" fontId="65" fillId="29" borderId="3" xfId="0" applyNumberFormat="1" applyFont="1" applyFill="1" applyBorder="1" applyAlignment="1">
      <alignment vertical="center"/>
    </xf>
    <xf numFmtId="169" fontId="65" fillId="29" borderId="3" xfId="0" applyNumberFormat="1" applyFont="1" applyFill="1" applyBorder="1" applyAlignment="1">
      <alignment horizontal="right" vertical="center"/>
    </xf>
    <xf numFmtId="0" fontId="78" fillId="29" borderId="16" xfId="0" applyFont="1" applyFill="1" applyBorder="1" applyAlignment="1">
      <alignment horizontal="left" vertical="center" wrapText="1"/>
    </xf>
    <xf numFmtId="170" fontId="65" fillId="29" borderId="3" xfId="0" applyNumberFormat="1" applyFont="1" applyFill="1" applyBorder="1" applyAlignment="1">
      <alignment vertical="center" wrapText="1"/>
    </xf>
    <xf numFmtId="178" fontId="65" fillId="29" borderId="3" xfId="0" applyNumberFormat="1" applyFont="1" applyFill="1" applyBorder="1" applyAlignment="1">
      <alignment vertical="center" wrapText="1"/>
    </xf>
    <xf numFmtId="0" fontId="63" fillId="29" borderId="3" xfId="0" quotePrefix="1" applyFont="1" applyFill="1" applyBorder="1" applyAlignment="1">
      <alignment horizontal="center" vertical="center"/>
    </xf>
    <xf numFmtId="178" fontId="65" fillId="29" borderId="3" xfId="0" applyNumberFormat="1" applyFont="1" applyFill="1" applyBorder="1" applyAlignment="1">
      <alignment horizontal="right" vertical="center"/>
    </xf>
    <xf numFmtId="0" fontId="70" fillId="29" borderId="0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 wrapText="1"/>
    </xf>
    <xf numFmtId="0" fontId="67" fillId="29" borderId="0" xfId="0" applyFont="1" applyFill="1" applyBorder="1" applyAlignment="1">
      <alignment horizontal="center" vertical="center"/>
    </xf>
    <xf numFmtId="0" fontId="67" fillId="29" borderId="0" xfId="0" applyFont="1" applyFill="1" applyBorder="1" applyAlignment="1">
      <alignment horizontal="center" vertical="center" wrapText="1"/>
    </xf>
    <xf numFmtId="0" fontId="62" fillId="29" borderId="3" xfId="0" applyFont="1" applyFill="1" applyBorder="1" applyAlignment="1">
      <alignment horizontal="center" vertical="center"/>
    </xf>
    <xf numFmtId="0" fontId="62" fillId="29" borderId="3" xfId="0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 wrapText="1"/>
    </xf>
    <xf numFmtId="0" fontId="62" fillId="29" borderId="0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left" vertical="center"/>
    </xf>
    <xf numFmtId="170" fontId="62" fillId="29" borderId="13" xfId="0" applyNumberFormat="1" applyFont="1" applyFill="1" applyBorder="1" applyAlignment="1">
      <alignment horizontal="center" vertical="center" wrapText="1"/>
    </xf>
    <xf numFmtId="170" fontId="62" fillId="29" borderId="13" xfId="0" quotePrefix="1" applyNumberFormat="1" applyFont="1" applyFill="1" applyBorder="1" applyAlignment="1">
      <alignment horizontal="center" vertical="center" wrapText="1"/>
    </xf>
    <xf numFmtId="0" fontId="67" fillId="29" borderId="3" xfId="0" applyFont="1" applyFill="1" applyBorder="1" applyAlignment="1">
      <alignment horizontal="center" vertical="center"/>
    </xf>
    <xf numFmtId="0" fontId="67" fillId="29" borderId="3" xfId="0" applyFont="1" applyFill="1" applyBorder="1" applyAlignment="1" applyProtection="1">
      <alignment horizontal="center" vertical="center"/>
      <protection locked="0"/>
    </xf>
    <xf numFmtId="0" fontId="63" fillId="29" borderId="13" xfId="0" applyFont="1" applyFill="1" applyBorder="1" applyAlignment="1">
      <alignment horizontal="center"/>
    </xf>
    <xf numFmtId="0" fontId="63" fillId="29" borderId="3" xfId="0" applyFont="1" applyFill="1" applyBorder="1" applyAlignment="1">
      <alignment horizontal="left" vertical="center" wrapText="1"/>
    </xf>
    <xf numFmtId="0" fontId="70" fillId="29" borderId="0" xfId="0" applyFont="1" applyFill="1" applyBorder="1" applyAlignment="1">
      <alignment horizontal="center"/>
    </xf>
    <xf numFmtId="0" fontId="65" fillId="29" borderId="0" xfId="0" applyFont="1" applyFill="1" applyBorder="1" applyAlignment="1">
      <alignment horizontal="center" vertical="center"/>
    </xf>
    <xf numFmtId="0" fontId="66" fillId="29" borderId="0" xfId="0" applyFont="1" applyFill="1" applyBorder="1" applyAlignment="1">
      <alignment horizontal="center" vertical="center" wrapText="1"/>
    </xf>
    <xf numFmtId="170" fontId="65" fillId="29" borderId="13" xfId="0" applyNumberFormat="1" applyFont="1" applyFill="1" applyBorder="1" applyAlignment="1">
      <alignment horizontal="center" vertical="center" wrapText="1"/>
    </xf>
    <xf numFmtId="0" fontId="65" fillId="29" borderId="0" xfId="0" applyFont="1" applyFill="1" applyBorder="1" applyAlignment="1">
      <alignment horizontal="left" vertical="center"/>
    </xf>
    <xf numFmtId="0" fontId="63" fillId="29" borderId="3" xfId="0" applyFont="1" applyFill="1" applyBorder="1" applyAlignment="1">
      <alignment horizontal="center" vertical="center"/>
    </xf>
    <xf numFmtId="0" fontId="63" fillId="29" borderId="3" xfId="0" applyFont="1" applyFill="1" applyBorder="1" applyAlignment="1">
      <alignment horizontal="center" vertical="center" wrapText="1"/>
    </xf>
    <xf numFmtId="0" fontId="63" fillId="29" borderId="3" xfId="0" applyFont="1" applyFill="1" applyBorder="1" applyAlignment="1">
      <alignment horizontal="left" vertical="center"/>
    </xf>
    <xf numFmtId="170" fontId="65" fillId="29" borderId="13" xfId="0" applyNumberFormat="1" applyFont="1" applyFill="1" applyBorder="1" applyAlignment="1">
      <alignment horizontal="left" vertical="center" wrapText="1"/>
    </xf>
    <xf numFmtId="0" fontId="63" fillId="29" borderId="0" xfId="0" applyFont="1" applyFill="1" applyBorder="1" applyAlignment="1">
      <alignment horizontal="center" vertical="center" wrapText="1"/>
    </xf>
    <xf numFmtId="0" fontId="65" fillId="29" borderId="15" xfId="0" applyFont="1" applyFill="1" applyBorder="1" applyAlignment="1">
      <alignment horizontal="left" vertical="center" wrapText="1"/>
    </xf>
    <xf numFmtId="0" fontId="65" fillId="29" borderId="14" xfId="0" applyFont="1" applyFill="1" applyBorder="1" applyAlignment="1">
      <alignment horizontal="left" vertical="center" wrapText="1"/>
    </xf>
    <xf numFmtId="0" fontId="65" fillId="29" borderId="16" xfId="0" applyFont="1" applyFill="1" applyBorder="1" applyAlignment="1">
      <alignment horizontal="left" vertical="center" wrapText="1"/>
    </xf>
    <xf numFmtId="0" fontId="65" fillId="29" borderId="15" xfId="0" applyFont="1" applyFill="1" applyBorder="1" applyAlignment="1"/>
    <xf numFmtId="0" fontId="65" fillId="29" borderId="14" xfId="0" applyFont="1" applyFill="1" applyBorder="1" applyAlignment="1"/>
    <xf numFmtId="0" fontId="65" fillId="29" borderId="16" xfId="0" applyFont="1" applyFill="1" applyBorder="1" applyAlignment="1"/>
    <xf numFmtId="0" fontId="65" fillId="29" borderId="15" xfId="0" applyFont="1" applyFill="1" applyBorder="1" applyAlignment="1">
      <alignment wrapText="1"/>
    </xf>
    <xf numFmtId="0" fontId="65" fillId="29" borderId="14" xfId="0" applyFont="1" applyFill="1" applyBorder="1" applyAlignment="1">
      <alignment wrapText="1"/>
    </xf>
    <xf numFmtId="0" fontId="65" fillId="29" borderId="16" xfId="0" applyFont="1" applyFill="1" applyBorder="1" applyAlignment="1">
      <alignment wrapText="1"/>
    </xf>
    <xf numFmtId="0" fontId="65" fillId="29" borderId="15" xfId="0" applyFont="1" applyFill="1" applyBorder="1" applyAlignment="1">
      <alignment horizontal="left" wrapText="1"/>
    </xf>
    <xf numFmtId="0" fontId="65" fillId="29" borderId="14" xfId="0" applyFont="1" applyFill="1" applyBorder="1" applyAlignment="1">
      <alignment horizontal="left" wrapText="1"/>
    </xf>
    <xf numFmtId="0" fontId="65" fillId="29" borderId="16" xfId="0" applyFont="1" applyFill="1" applyBorder="1" applyAlignment="1">
      <alignment horizontal="left" wrapText="1"/>
    </xf>
    <xf numFmtId="0" fontId="66" fillId="29" borderId="0" xfId="0" applyFont="1" applyFill="1" applyBorder="1" applyAlignment="1">
      <alignment horizontal="center" vertical="center"/>
    </xf>
    <xf numFmtId="0" fontId="63" fillId="29" borderId="15" xfId="0" applyFont="1" applyFill="1" applyBorder="1" applyAlignment="1">
      <alignment horizontal="center" vertical="center" wrapText="1"/>
    </xf>
    <xf numFmtId="0" fontId="63" fillId="29" borderId="14" xfId="0" applyFont="1" applyFill="1" applyBorder="1" applyAlignment="1">
      <alignment horizontal="center" vertical="center" wrapText="1"/>
    </xf>
    <xf numFmtId="0" fontId="65" fillId="29" borderId="15" xfId="0" applyFont="1" applyFill="1" applyBorder="1" applyAlignment="1">
      <alignment horizontal="left"/>
    </xf>
    <xf numFmtId="0" fontId="65" fillId="29" borderId="14" xfId="0" applyFont="1" applyFill="1" applyBorder="1" applyAlignment="1">
      <alignment horizontal="left"/>
    </xf>
    <xf numFmtId="0" fontId="65" fillId="29" borderId="16" xfId="0" applyFont="1" applyFill="1" applyBorder="1" applyAlignment="1">
      <alignment horizontal="left"/>
    </xf>
    <xf numFmtId="0" fontId="73" fillId="0" borderId="0" xfId="0" applyFont="1" applyFill="1" applyAlignment="1">
      <alignment vertical="center" wrapText="1"/>
    </xf>
    <xf numFmtId="0" fontId="74" fillId="0" borderId="0" xfId="0" applyFont="1" applyAlignment="1">
      <alignment vertical="center" wrapText="1"/>
    </xf>
    <xf numFmtId="0" fontId="69" fillId="29" borderId="0" xfId="0" applyFont="1" applyFill="1" applyBorder="1" applyAlignment="1">
      <alignment horizontal="center" wrapText="1"/>
    </xf>
    <xf numFmtId="0" fontId="72" fillId="29" borderId="0" xfId="0" applyFont="1" applyFill="1" applyAlignment="1">
      <alignment horizontal="center"/>
    </xf>
    <xf numFmtId="0" fontId="62" fillId="29" borderId="0" xfId="0" applyFont="1" applyFill="1" applyBorder="1" applyAlignment="1">
      <alignment horizontal="center"/>
    </xf>
    <xf numFmtId="0" fontId="62" fillId="29" borderId="0" xfId="0" applyFont="1" applyFill="1" applyAlignment="1">
      <alignment horizontal="center" vertical="center"/>
    </xf>
    <xf numFmtId="3" fontId="66" fillId="29" borderId="15" xfId="0" applyNumberFormat="1" applyFont="1" applyFill="1" applyBorder="1" applyAlignment="1">
      <alignment horizontal="left" vertical="center" wrapText="1"/>
    </xf>
    <xf numFmtId="3" fontId="66" fillId="29" borderId="14" xfId="0" applyNumberFormat="1" applyFont="1" applyFill="1" applyBorder="1" applyAlignment="1">
      <alignment horizontal="left" vertical="center" wrapText="1"/>
    </xf>
    <xf numFmtId="0" fontId="63" fillId="29" borderId="15" xfId="0" applyFont="1" applyFill="1" applyBorder="1" applyAlignment="1">
      <alignment horizontal="left" vertical="center"/>
    </xf>
    <xf numFmtId="0" fontId="63" fillId="29" borderId="14" xfId="0" applyFont="1" applyFill="1" applyBorder="1" applyAlignment="1">
      <alignment horizontal="left" vertical="center"/>
    </xf>
    <xf numFmtId="0" fontId="63" fillId="29" borderId="16" xfId="0" applyFont="1" applyFill="1" applyBorder="1" applyAlignment="1">
      <alignment horizontal="left" vertic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R251"/>
  <sheetViews>
    <sheetView view="pageBreakPreview" topLeftCell="A85" zoomScale="70" zoomScaleNormal="75" zoomScaleSheetLayoutView="70" workbookViewId="0">
      <selection activeCell="C119" sqref="C119"/>
    </sheetView>
  </sheetViews>
  <sheetFormatPr defaultRowHeight="20.25"/>
  <cols>
    <col min="1" max="1" width="65.42578125" style="55" customWidth="1"/>
    <col min="2" max="2" width="17.28515625" style="153" customWidth="1"/>
    <col min="3" max="4" width="18" style="153" customWidth="1"/>
    <col min="5" max="5" width="18.7109375" style="55" customWidth="1"/>
    <col min="6" max="6" width="19" style="55" customWidth="1"/>
    <col min="7" max="7" width="18.7109375" style="55" customWidth="1"/>
    <col min="8" max="8" width="19.7109375" style="55" customWidth="1"/>
    <col min="9" max="9" width="22.85546875" style="55" customWidth="1"/>
    <col min="10" max="10" width="18.85546875" style="55" customWidth="1"/>
    <col min="11" max="11" width="17.42578125" style="55" customWidth="1"/>
    <col min="12" max="12" width="13.85546875" style="55" customWidth="1"/>
    <col min="13" max="13" width="17" style="55" customWidth="1"/>
    <col min="14" max="16" width="9.140625" style="55"/>
    <col min="17" max="17" width="11.42578125" style="55" bestFit="1" customWidth="1"/>
    <col min="18" max="18" width="18.5703125" style="55" customWidth="1"/>
    <col min="19" max="16384" width="9.140625" style="55"/>
  </cols>
  <sheetData>
    <row r="1" spans="1:10" ht="111" customHeight="1">
      <c r="A1" s="216" t="s">
        <v>366</v>
      </c>
      <c r="B1" s="215"/>
      <c r="C1" s="215"/>
      <c r="D1" s="215"/>
      <c r="E1" s="215"/>
      <c r="F1" s="215"/>
      <c r="G1" s="215"/>
      <c r="H1" s="215"/>
    </row>
    <row r="2" spans="1:10" ht="30" customHeight="1">
      <c r="A2" s="215" t="s">
        <v>18</v>
      </c>
      <c r="B2" s="215"/>
      <c r="C2" s="215"/>
      <c r="D2" s="215"/>
      <c r="E2" s="215"/>
      <c r="F2" s="215"/>
      <c r="G2" s="215"/>
      <c r="H2" s="215"/>
    </row>
    <row r="3" spans="1:10" ht="23.25" customHeight="1">
      <c r="B3" s="154"/>
      <c r="C3" s="157"/>
      <c r="D3" s="154"/>
      <c r="E3" s="154"/>
      <c r="F3" s="154"/>
      <c r="G3" s="154"/>
      <c r="H3" s="56" t="s">
        <v>57</v>
      </c>
    </row>
    <row r="4" spans="1:10" ht="57" customHeight="1">
      <c r="A4" s="217" t="s">
        <v>23</v>
      </c>
      <c r="B4" s="218" t="s">
        <v>5</v>
      </c>
      <c r="C4" s="218" t="s">
        <v>122</v>
      </c>
      <c r="D4" s="218"/>
      <c r="E4" s="217" t="s">
        <v>365</v>
      </c>
      <c r="F4" s="217"/>
      <c r="G4" s="217"/>
      <c r="H4" s="217"/>
    </row>
    <row r="5" spans="1:10" ht="47.25" customHeight="1">
      <c r="A5" s="217"/>
      <c r="B5" s="218"/>
      <c r="C5" s="152" t="s">
        <v>363</v>
      </c>
      <c r="D5" s="152" t="s">
        <v>364</v>
      </c>
      <c r="E5" s="4" t="s">
        <v>108</v>
      </c>
      <c r="F5" s="4" t="s">
        <v>109</v>
      </c>
      <c r="G5" s="4" t="s">
        <v>110</v>
      </c>
      <c r="H5" s="4" t="s">
        <v>111</v>
      </c>
    </row>
    <row r="6" spans="1:10" ht="29.25" customHeight="1">
      <c r="A6" s="151">
        <v>1</v>
      </c>
      <c r="B6" s="152">
        <v>2</v>
      </c>
      <c r="C6" s="152">
        <v>3</v>
      </c>
      <c r="D6" s="152">
        <v>5</v>
      </c>
      <c r="E6" s="152">
        <v>7</v>
      </c>
      <c r="F6" s="152">
        <v>8</v>
      </c>
      <c r="G6" s="152">
        <v>9</v>
      </c>
      <c r="H6" s="152">
        <v>10</v>
      </c>
    </row>
    <row r="7" spans="1:10" ht="33" customHeight="1">
      <c r="A7" s="219" t="s">
        <v>99</v>
      </c>
      <c r="B7" s="219"/>
      <c r="C7" s="219"/>
      <c r="D7" s="219"/>
      <c r="E7" s="219"/>
      <c r="F7" s="219"/>
      <c r="G7" s="219"/>
      <c r="H7" s="219"/>
    </row>
    <row r="8" spans="1:10" ht="48.75" customHeight="1">
      <c r="A8" s="72" t="s">
        <v>123</v>
      </c>
      <c r="B8" s="5">
        <v>1000</v>
      </c>
      <c r="C8" s="1">
        <v>43181.1</v>
      </c>
      <c r="D8" s="1">
        <v>49247</v>
      </c>
      <c r="E8" s="1">
        <v>62610.5</v>
      </c>
      <c r="F8" s="1">
        <f>D8</f>
        <v>49247</v>
      </c>
      <c r="G8" s="1">
        <f>F8-E8</f>
        <v>-13363.5</v>
      </c>
      <c r="H8" s="1">
        <f>(F8/E8)*100</f>
        <v>78.656135951637509</v>
      </c>
      <c r="J8" s="64"/>
    </row>
    <row r="9" spans="1:10" ht="47.25" customHeight="1">
      <c r="A9" s="72" t="s">
        <v>67</v>
      </c>
      <c r="B9" s="5">
        <v>1010</v>
      </c>
      <c r="C9" s="1">
        <f>SUM(C10:C14)</f>
        <v>-52025.4</v>
      </c>
      <c r="D9" s="1">
        <f>SUM(D10:D14)</f>
        <v>-58039</v>
      </c>
      <c r="E9" s="1">
        <f>SUM(E10:E14)</f>
        <v>-69441.5</v>
      </c>
      <c r="F9" s="1">
        <f t="shared" ref="F9:F43" si="0">D9</f>
        <v>-58039</v>
      </c>
      <c r="G9" s="1">
        <f t="shared" ref="G9:G43" si="1">F9-E9</f>
        <v>11402.5</v>
      </c>
      <c r="H9" s="1">
        <f t="shared" ref="H9:H43" si="2">(F9/E9)*100</f>
        <v>83.579703779440251</v>
      </c>
      <c r="J9" s="64"/>
    </row>
    <row r="10" spans="1:10" ht="30" customHeight="1">
      <c r="A10" s="73" t="s">
        <v>68</v>
      </c>
      <c r="B10" s="151">
        <v>1011</v>
      </c>
      <c r="C10" s="7">
        <v>-6832.7</v>
      </c>
      <c r="D10" s="7">
        <v>-13154.5</v>
      </c>
      <c r="E10" s="7">
        <v>-8197.4</v>
      </c>
      <c r="F10" s="1">
        <f t="shared" si="0"/>
        <v>-13154.5</v>
      </c>
      <c r="G10" s="7">
        <f t="shared" si="1"/>
        <v>-4957.1000000000004</v>
      </c>
      <c r="H10" s="7">
        <f t="shared" si="2"/>
        <v>160.47161295044771</v>
      </c>
      <c r="J10" s="64"/>
    </row>
    <row r="11" spans="1:10" ht="28.5" customHeight="1">
      <c r="A11" s="73" t="s">
        <v>2</v>
      </c>
      <c r="B11" s="151">
        <v>1012</v>
      </c>
      <c r="C11" s="7">
        <v>-32500.9</v>
      </c>
      <c r="D11" s="7">
        <v>-30616.3</v>
      </c>
      <c r="E11" s="7">
        <v>-44502.6</v>
      </c>
      <c r="F11" s="1">
        <f t="shared" si="0"/>
        <v>-30616.3</v>
      </c>
      <c r="G11" s="7">
        <f t="shared" si="1"/>
        <v>13886.3</v>
      </c>
      <c r="H11" s="7">
        <f t="shared" si="2"/>
        <v>68.796654577485356</v>
      </c>
      <c r="J11" s="64"/>
    </row>
    <row r="12" spans="1:10" ht="29.25" customHeight="1">
      <c r="A12" s="73" t="s">
        <v>3</v>
      </c>
      <c r="B12" s="151">
        <v>1013</v>
      </c>
      <c r="C12" s="7">
        <v>-6724.6</v>
      </c>
      <c r="D12" s="7">
        <v>-6577.2</v>
      </c>
      <c r="E12" s="7">
        <v>-10891.4</v>
      </c>
      <c r="F12" s="1">
        <f t="shared" si="0"/>
        <v>-6577.2</v>
      </c>
      <c r="G12" s="7">
        <f t="shared" si="1"/>
        <v>4314.2</v>
      </c>
      <c r="H12" s="7">
        <f t="shared" si="2"/>
        <v>60.388930715977743</v>
      </c>
      <c r="J12" s="64"/>
    </row>
    <row r="13" spans="1:10" ht="29.25" customHeight="1">
      <c r="A13" s="73" t="s">
        <v>4</v>
      </c>
      <c r="B13" s="151">
        <v>1014</v>
      </c>
      <c r="C13" s="7">
        <v>-765.4</v>
      </c>
      <c r="D13" s="7">
        <v>-2759.7</v>
      </c>
      <c r="E13" s="7">
        <v>-900</v>
      </c>
      <c r="F13" s="1">
        <f t="shared" si="0"/>
        <v>-2759.7</v>
      </c>
      <c r="G13" s="70">
        <f t="shared" si="1"/>
        <v>-1859.6999999999998</v>
      </c>
      <c r="H13" s="70">
        <f t="shared" si="2"/>
        <v>306.63333333333333</v>
      </c>
      <c r="J13" s="64"/>
    </row>
    <row r="14" spans="1:10" ht="30" customHeight="1">
      <c r="A14" s="73" t="s">
        <v>50</v>
      </c>
      <c r="B14" s="151">
        <v>1015</v>
      </c>
      <c r="C14" s="7">
        <v>-5201.8</v>
      </c>
      <c r="D14" s="7">
        <v>-4931.3</v>
      </c>
      <c r="E14" s="7">
        <v>-4950.1000000000004</v>
      </c>
      <c r="F14" s="1">
        <f t="shared" si="0"/>
        <v>-4931.3</v>
      </c>
      <c r="G14" s="7">
        <f t="shared" si="1"/>
        <v>18.800000000000182</v>
      </c>
      <c r="H14" s="7">
        <f t="shared" si="2"/>
        <v>99.620209692733468</v>
      </c>
      <c r="J14" s="64"/>
    </row>
    <row r="15" spans="1:10" ht="28.5" customHeight="1">
      <c r="A15" s="72" t="s">
        <v>25</v>
      </c>
      <c r="B15" s="151">
        <v>1020</v>
      </c>
      <c r="C15" s="1">
        <f>SUM(C8:C9)</f>
        <v>-8844.3000000000029</v>
      </c>
      <c r="D15" s="1">
        <f>SUM(D8:D9)</f>
        <v>-8792</v>
      </c>
      <c r="E15" s="1">
        <f>SUM(E8:E9)</f>
        <v>-6831</v>
      </c>
      <c r="F15" s="1">
        <f t="shared" si="0"/>
        <v>-8792</v>
      </c>
      <c r="G15" s="1">
        <f t="shared" si="1"/>
        <v>-1961</v>
      </c>
      <c r="H15" s="1">
        <f t="shared" si="2"/>
        <v>128.70736348997218</v>
      </c>
    </row>
    <row r="16" spans="1:10" ht="42" customHeight="1">
      <c r="A16" s="72" t="s">
        <v>89</v>
      </c>
      <c r="B16" s="5">
        <v>1020</v>
      </c>
      <c r="C16" s="1">
        <f>SUM(C17:C21)</f>
        <v>-3684.3</v>
      </c>
      <c r="D16" s="1">
        <f>SUM(D17:D21)</f>
        <v>-3445.5000000000005</v>
      </c>
      <c r="E16" s="1">
        <f>SUM(E17:E21)</f>
        <v>-2370.8000000000002</v>
      </c>
      <c r="F16" s="1">
        <f t="shared" si="0"/>
        <v>-3445.5000000000005</v>
      </c>
      <c r="G16" s="1">
        <f t="shared" si="1"/>
        <v>-1074.7000000000003</v>
      </c>
      <c r="H16" s="1">
        <f t="shared" si="2"/>
        <v>145.33069006242621</v>
      </c>
    </row>
    <row r="17" spans="1:8" ht="27.75" customHeight="1">
      <c r="A17" s="73" t="s">
        <v>68</v>
      </c>
      <c r="B17" s="151">
        <v>1021</v>
      </c>
      <c r="C17" s="7">
        <v>-25.1</v>
      </c>
      <c r="D17" s="7">
        <v>-33.9</v>
      </c>
      <c r="E17" s="7">
        <v>-35</v>
      </c>
      <c r="F17" s="1">
        <f t="shared" si="0"/>
        <v>-33.9</v>
      </c>
      <c r="G17" s="7">
        <f t="shared" si="1"/>
        <v>1.1000000000000014</v>
      </c>
      <c r="H17" s="7">
        <f t="shared" si="2"/>
        <v>96.857142857142847</v>
      </c>
    </row>
    <row r="18" spans="1:8" ht="27.75" customHeight="1">
      <c r="A18" s="73" t="s">
        <v>2</v>
      </c>
      <c r="B18" s="151">
        <v>1022</v>
      </c>
      <c r="C18" s="7">
        <v>-2247.1999999999998</v>
      </c>
      <c r="D18" s="7">
        <v>-2308.4</v>
      </c>
      <c r="E18" s="7">
        <v>-989.2</v>
      </c>
      <c r="F18" s="1">
        <f t="shared" si="0"/>
        <v>-2308.4</v>
      </c>
      <c r="G18" s="7">
        <f t="shared" si="1"/>
        <v>-1319.2</v>
      </c>
      <c r="H18" s="7">
        <f t="shared" si="2"/>
        <v>233.36029114435908</v>
      </c>
    </row>
    <row r="19" spans="1:8" ht="27.75" customHeight="1">
      <c r="A19" s="73" t="s">
        <v>3</v>
      </c>
      <c r="B19" s="151">
        <v>1023</v>
      </c>
      <c r="C19" s="7">
        <v>-561.70000000000005</v>
      </c>
      <c r="D19" s="7">
        <v>-453.9</v>
      </c>
      <c r="E19" s="7">
        <v>-217.6</v>
      </c>
      <c r="F19" s="1">
        <f t="shared" si="0"/>
        <v>-453.9</v>
      </c>
      <c r="G19" s="7">
        <f t="shared" si="1"/>
        <v>-236.29999999999998</v>
      </c>
      <c r="H19" s="7">
        <f t="shared" si="2"/>
        <v>208.59375</v>
      </c>
    </row>
    <row r="20" spans="1:8" ht="27.75" customHeight="1">
      <c r="A20" s="73" t="s">
        <v>4</v>
      </c>
      <c r="B20" s="151">
        <v>1024</v>
      </c>
      <c r="C20" s="7">
        <v>-655.4</v>
      </c>
      <c r="D20" s="7">
        <v>-154.30000000000001</v>
      </c>
      <c r="E20" s="7">
        <v>-530</v>
      </c>
      <c r="F20" s="1">
        <f t="shared" si="0"/>
        <v>-154.30000000000001</v>
      </c>
      <c r="G20" s="70">
        <f t="shared" si="1"/>
        <v>375.7</v>
      </c>
      <c r="H20" s="70">
        <f t="shared" si="2"/>
        <v>29.113207547169811</v>
      </c>
    </row>
    <row r="21" spans="1:8" ht="27.75" customHeight="1">
      <c r="A21" s="73" t="s">
        <v>69</v>
      </c>
      <c r="B21" s="151">
        <v>1025</v>
      </c>
      <c r="C21" s="7">
        <v>-194.9</v>
      </c>
      <c r="D21" s="7">
        <v>-495</v>
      </c>
      <c r="E21" s="7">
        <v>-599</v>
      </c>
      <c r="F21" s="1">
        <f t="shared" si="0"/>
        <v>-495</v>
      </c>
      <c r="G21" s="7">
        <f t="shared" si="1"/>
        <v>104</v>
      </c>
      <c r="H21" s="7">
        <f t="shared" si="2"/>
        <v>82.637729549248746</v>
      </c>
    </row>
    <row r="22" spans="1:8" ht="38.25" customHeight="1">
      <c r="A22" s="72" t="s">
        <v>35</v>
      </c>
      <c r="B22" s="5">
        <v>1040</v>
      </c>
      <c r="C22" s="1">
        <f>SUM(C23:C24)</f>
        <v>8527.1</v>
      </c>
      <c r="D22" s="1">
        <f>SUM(D23:D24)</f>
        <v>12932.1</v>
      </c>
      <c r="E22" s="1">
        <f>SUM(E23:E24)</f>
        <v>8707.2000000000007</v>
      </c>
      <c r="F22" s="1">
        <f t="shared" si="0"/>
        <v>12932.1</v>
      </c>
      <c r="G22" s="1">
        <f t="shared" si="1"/>
        <v>4224.8999999999996</v>
      </c>
      <c r="H22" s="1">
        <f t="shared" si="2"/>
        <v>148.52191289966922</v>
      </c>
    </row>
    <row r="23" spans="1:8" ht="27.75" customHeight="1">
      <c r="A23" s="73" t="s">
        <v>36</v>
      </c>
      <c r="B23" s="151">
        <v>1041</v>
      </c>
      <c r="C23" s="7"/>
      <c r="D23" s="7"/>
      <c r="E23" s="7"/>
      <c r="F23" s="1">
        <f t="shared" si="0"/>
        <v>0</v>
      </c>
      <c r="G23" s="7">
        <f t="shared" si="1"/>
        <v>0</v>
      </c>
      <c r="H23" s="70" t="e">
        <f t="shared" si="2"/>
        <v>#DIV/0!</v>
      </c>
    </row>
    <row r="24" spans="1:8" ht="27.75" customHeight="1">
      <c r="A24" s="73" t="s">
        <v>37</v>
      </c>
      <c r="B24" s="151">
        <v>1042</v>
      </c>
      <c r="C24" s="7">
        <v>8527.1</v>
      </c>
      <c r="D24" s="7">
        <v>12932.1</v>
      </c>
      <c r="E24" s="7">
        <v>8707.2000000000007</v>
      </c>
      <c r="F24" s="1">
        <f t="shared" si="0"/>
        <v>12932.1</v>
      </c>
      <c r="G24" s="7">
        <f t="shared" si="1"/>
        <v>4224.8999999999996</v>
      </c>
      <c r="H24" s="7">
        <f t="shared" si="2"/>
        <v>148.52191289966922</v>
      </c>
    </row>
    <row r="25" spans="1:8" ht="37.5" customHeight="1">
      <c r="A25" s="72" t="s">
        <v>12</v>
      </c>
      <c r="B25" s="5">
        <v>1030</v>
      </c>
      <c r="C25" s="1">
        <f>SUM(C26:C30)</f>
        <v>-542.40000000000009</v>
      </c>
      <c r="D25" s="1">
        <f>SUM(D26:D30)</f>
        <v>-968.3</v>
      </c>
      <c r="E25" s="1">
        <f>SUM(E26:E30)</f>
        <v>-1008.4</v>
      </c>
      <c r="F25" s="1">
        <f t="shared" si="0"/>
        <v>-968.3</v>
      </c>
      <c r="G25" s="1">
        <f t="shared" si="1"/>
        <v>40.100000000000023</v>
      </c>
      <c r="H25" s="1">
        <f t="shared" si="2"/>
        <v>96.023403411344702</v>
      </c>
    </row>
    <row r="26" spans="1:8" ht="27.75" customHeight="1">
      <c r="A26" s="73" t="s">
        <v>68</v>
      </c>
      <c r="B26" s="151">
        <v>1031</v>
      </c>
      <c r="C26" s="7" t="s">
        <v>26</v>
      </c>
      <c r="D26" s="7" t="s">
        <v>26</v>
      </c>
      <c r="E26" s="7" t="s">
        <v>26</v>
      </c>
      <c r="F26" s="1" t="str">
        <f t="shared" si="0"/>
        <v>(    )</v>
      </c>
      <c r="G26" s="70" t="e">
        <f t="shared" si="1"/>
        <v>#VALUE!</v>
      </c>
      <c r="H26" s="70" t="e">
        <f t="shared" si="2"/>
        <v>#VALUE!</v>
      </c>
    </row>
    <row r="27" spans="1:8" ht="27.75" customHeight="1">
      <c r="A27" s="73" t="s">
        <v>2</v>
      </c>
      <c r="B27" s="151">
        <v>1032</v>
      </c>
      <c r="C27" s="7">
        <v>-360.1</v>
      </c>
      <c r="D27" s="7">
        <v>-693.4</v>
      </c>
      <c r="E27" s="7">
        <v>-723.6</v>
      </c>
      <c r="F27" s="1">
        <f t="shared" si="0"/>
        <v>-693.4</v>
      </c>
      <c r="G27" s="7">
        <f t="shared" ref="G27:G28" si="3">F27-E27</f>
        <v>30.200000000000045</v>
      </c>
      <c r="H27" s="7">
        <f t="shared" ref="H27:H28" si="4">(F27/E27)*100</f>
        <v>95.826423438363733</v>
      </c>
    </row>
    <row r="28" spans="1:8" ht="27.75" customHeight="1">
      <c r="A28" s="73" t="s">
        <v>3</v>
      </c>
      <c r="B28" s="151">
        <v>1033</v>
      </c>
      <c r="C28" s="7">
        <v>-106.8</v>
      </c>
      <c r="D28" s="7">
        <v>-161.1</v>
      </c>
      <c r="E28" s="7">
        <v>-159.19999999999999</v>
      </c>
      <c r="F28" s="1">
        <f t="shared" si="0"/>
        <v>-161.1</v>
      </c>
      <c r="G28" s="7">
        <f t="shared" si="3"/>
        <v>-1.9000000000000057</v>
      </c>
      <c r="H28" s="7">
        <f t="shared" si="4"/>
        <v>101.19346733668341</v>
      </c>
    </row>
    <row r="29" spans="1:8" ht="27.75" customHeight="1">
      <c r="A29" s="73" t="s">
        <v>4</v>
      </c>
      <c r="B29" s="151">
        <v>1034</v>
      </c>
      <c r="C29" s="7"/>
      <c r="D29" s="7"/>
      <c r="E29" s="7"/>
      <c r="F29" s="1">
        <f t="shared" si="0"/>
        <v>0</v>
      </c>
      <c r="G29" s="70">
        <f t="shared" si="1"/>
        <v>0</v>
      </c>
      <c r="H29" s="70" t="e">
        <f t="shared" si="2"/>
        <v>#DIV/0!</v>
      </c>
    </row>
    <row r="30" spans="1:8" ht="27.75" customHeight="1">
      <c r="A30" s="73" t="s">
        <v>70</v>
      </c>
      <c r="B30" s="151">
        <v>1035</v>
      </c>
      <c r="C30" s="7">
        <v>-75.5</v>
      </c>
      <c r="D30" s="7">
        <v>-113.8</v>
      </c>
      <c r="E30" s="7">
        <v>-125.6</v>
      </c>
      <c r="F30" s="1">
        <f t="shared" si="0"/>
        <v>-113.8</v>
      </c>
      <c r="G30" s="7">
        <f t="shared" si="1"/>
        <v>11.799999999999997</v>
      </c>
      <c r="H30" s="7">
        <f t="shared" si="2"/>
        <v>90.605095541401269</v>
      </c>
    </row>
    <row r="31" spans="1:8" ht="47.25" customHeight="1">
      <c r="A31" s="72" t="s">
        <v>1</v>
      </c>
      <c r="B31" s="151">
        <v>1100</v>
      </c>
      <c r="C31" s="1">
        <f>SUM(C15,C16,C22,C25)</f>
        <v>-4543.9000000000015</v>
      </c>
      <c r="D31" s="1">
        <f>SUM(D15,D16,D22,D25)</f>
        <v>-273.69999999999959</v>
      </c>
      <c r="E31" s="1">
        <f>SUM(E15,E16,E22,E25)</f>
        <v>-1502.9999999999986</v>
      </c>
      <c r="F31" s="1">
        <f t="shared" si="0"/>
        <v>-273.69999999999959</v>
      </c>
      <c r="G31" s="1">
        <f t="shared" si="1"/>
        <v>1229.299999999999</v>
      </c>
      <c r="H31" s="1">
        <f t="shared" si="2"/>
        <v>18.210246174318019</v>
      </c>
    </row>
    <row r="32" spans="1:8" ht="27.75" customHeight="1">
      <c r="A32" s="72" t="s">
        <v>124</v>
      </c>
      <c r="B32" s="5">
        <v>1130</v>
      </c>
      <c r="C32" s="1">
        <v>35.700000000000003</v>
      </c>
      <c r="D32" s="1">
        <v>95.3</v>
      </c>
      <c r="E32" s="1">
        <v>25</v>
      </c>
      <c r="F32" s="1">
        <f t="shared" si="0"/>
        <v>95.3</v>
      </c>
      <c r="G32" s="1">
        <f t="shared" si="1"/>
        <v>70.3</v>
      </c>
      <c r="H32" s="1">
        <f t="shared" si="2"/>
        <v>381.2</v>
      </c>
    </row>
    <row r="33" spans="1:11" ht="27.75" customHeight="1">
      <c r="A33" s="74" t="s">
        <v>125</v>
      </c>
      <c r="B33" s="5">
        <v>1140</v>
      </c>
      <c r="C33" s="1" t="s">
        <v>26</v>
      </c>
      <c r="D33" s="1" t="s">
        <v>26</v>
      </c>
      <c r="E33" s="7" t="s">
        <v>26</v>
      </c>
      <c r="F33" s="1" t="str">
        <f t="shared" si="0"/>
        <v>(    )</v>
      </c>
      <c r="G33" s="71" t="e">
        <f t="shared" si="1"/>
        <v>#VALUE!</v>
      </c>
      <c r="H33" s="71" t="e">
        <f t="shared" si="2"/>
        <v>#VALUE!</v>
      </c>
    </row>
    <row r="34" spans="1:11" ht="27.75" customHeight="1">
      <c r="A34" s="72" t="s">
        <v>126</v>
      </c>
      <c r="B34" s="5">
        <v>1150</v>
      </c>
      <c r="C34" s="1">
        <v>1412.8</v>
      </c>
      <c r="D34" s="1">
        <v>2877.7</v>
      </c>
      <c r="E34" s="1">
        <v>1478</v>
      </c>
      <c r="F34" s="1">
        <f t="shared" si="0"/>
        <v>2877.7</v>
      </c>
      <c r="G34" s="1">
        <f t="shared" si="1"/>
        <v>1399.6999999999998</v>
      </c>
      <c r="H34" s="1">
        <f t="shared" si="2"/>
        <v>194.70230040595396</v>
      </c>
    </row>
    <row r="35" spans="1:11" ht="27.75" customHeight="1">
      <c r="A35" s="72" t="s">
        <v>127</v>
      </c>
      <c r="B35" s="5">
        <v>1160</v>
      </c>
      <c r="C35" s="1" t="s">
        <v>26</v>
      </c>
      <c r="D35" s="1" t="s">
        <v>26</v>
      </c>
      <c r="E35" s="7" t="s">
        <v>26</v>
      </c>
      <c r="F35" s="1" t="str">
        <f t="shared" si="0"/>
        <v>(    )</v>
      </c>
      <c r="G35" s="71" t="e">
        <f t="shared" si="1"/>
        <v>#VALUE!</v>
      </c>
      <c r="H35" s="71" t="e">
        <f t="shared" si="2"/>
        <v>#VALUE!</v>
      </c>
    </row>
    <row r="36" spans="1:11" ht="28.5" customHeight="1">
      <c r="A36" s="72" t="s">
        <v>15</v>
      </c>
      <c r="B36" s="5">
        <v>1170</v>
      </c>
      <c r="C36" s="1">
        <f>SUM(C31, C32:C35)</f>
        <v>-3095.4000000000015</v>
      </c>
      <c r="D36" s="1">
        <f>SUM(D31, D32:D35)</f>
        <v>2699.3</v>
      </c>
      <c r="E36" s="1">
        <f>SUM(E31, E32:E35)</f>
        <v>0</v>
      </c>
      <c r="F36" s="1">
        <f t="shared" si="0"/>
        <v>2699.3</v>
      </c>
      <c r="G36" s="1">
        <f t="shared" si="1"/>
        <v>2699.3</v>
      </c>
      <c r="H36" s="1" t="e">
        <f t="shared" si="2"/>
        <v>#DIV/0!</v>
      </c>
    </row>
    <row r="37" spans="1:11" ht="27.75" customHeight="1">
      <c r="A37" s="74" t="s">
        <v>28</v>
      </c>
      <c r="B37" s="151">
        <v>1180</v>
      </c>
      <c r="C37" s="7" t="s">
        <v>26</v>
      </c>
      <c r="D37" s="7" t="s">
        <v>26</v>
      </c>
      <c r="E37" s="7" t="s">
        <v>26</v>
      </c>
      <c r="F37" s="1" t="str">
        <f t="shared" si="0"/>
        <v>(    )</v>
      </c>
      <c r="G37" s="70" t="e">
        <f t="shared" si="1"/>
        <v>#VALUE!</v>
      </c>
      <c r="H37" s="70" t="e">
        <f t="shared" si="2"/>
        <v>#VALUE!</v>
      </c>
    </row>
    <row r="38" spans="1:11" ht="27" customHeight="1">
      <c r="A38" s="74" t="s">
        <v>29</v>
      </c>
      <c r="B38" s="151">
        <v>1181</v>
      </c>
      <c r="C38" s="7"/>
      <c r="D38" s="7"/>
      <c r="E38" s="7"/>
      <c r="F38" s="1">
        <f>D38</f>
        <v>0</v>
      </c>
      <c r="G38" s="71">
        <f t="shared" si="1"/>
        <v>0</v>
      </c>
      <c r="H38" s="70" t="e">
        <f t="shared" si="2"/>
        <v>#DIV/0!</v>
      </c>
    </row>
    <row r="39" spans="1:11" ht="28.5" customHeight="1">
      <c r="A39" s="72" t="s">
        <v>46</v>
      </c>
      <c r="B39" s="151">
        <v>1200</v>
      </c>
      <c r="C39" s="1">
        <f>SUM(C36:C38)</f>
        <v>-3095.4000000000015</v>
      </c>
      <c r="D39" s="1">
        <f>SUM(D36:D38)</f>
        <v>2699.3</v>
      </c>
      <c r="E39" s="1">
        <f>SUM(E36:E38)</f>
        <v>0</v>
      </c>
      <c r="F39" s="1">
        <f t="shared" si="0"/>
        <v>2699.3</v>
      </c>
      <c r="G39" s="1">
        <f t="shared" si="1"/>
        <v>2699.3</v>
      </c>
      <c r="H39" s="1" t="e">
        <f t="shared" si="2"/>
        <v>#DIV/0!</v>
      </c>
    </row>
    <row r="40" spans="1:11" ht="35.25" customHeight="1">
      <c r="A40" s="74" t="s">
        <v>47</v>
      </c>
      <c r="B40" s="151">
        <v>1201</v>
      </c>
      <c r="C40" s="7"/>
      <c r="D40" s="7"/>
      <c r="E40" s="7"/>
      <c r="F40" s="1">
        <f t="shared" si="0"/>
        <v>0</v>
      </c>
      <c r="G40" s="70">
        <f t="shared" si="1"/>
        <v>0</v>
      </c>
      <c r="H40" s="70" t="e">
        <f t="shared" si="2"/>
        <v>#DIV/0!</v>
      </c>
    </row>
    <row r="41" spans="1:11" ht="33" customHeight="1">
      <c r="A41" s="74" t="s">
        <v>48</v>
      </c>
      <c r="B41" s="151">
        <v>1202</v>
      </c>
      <c r="C41" s="7" t="s">
        <v>26</v>
      </c>
      <c r="D41" s="7" t="s">
        <v>26</v>
      </c>
      <c r="E41" s="7" t="s">
        <v>26</v>
      </c>
      <c r="F41" s="1" t="str">
        <f>D41</f>
        <v>(    )</v>
      </c>
      <c r="G41" s="70" t="e">
        <f t="shared" si="1"/>
        <v>#VALUE!</v>
      </c>
      <c r="H41" s="70" t="e">
        <f t="shared" si="2"/>
        <v>#VALUE!</v>
      </c>
      <c r="J41" s="66"/>
    </row>
    <row r="42" spans="1:11" ht="33" customHeight="1">
      <c r="A42" s="72" t="s">
        <v>117</v>
      </c>
      <c r="B42" s="5">
        <v>1210</v>
      </c>
      <c r="C42" s="1">
        <f>SUM(C8,C22,C32,C34,C38)</f>
        <v>53156.7</v>
      </c>
      <c r="D42" s="1">
        <f>SUM(D8,D22,D32,D34,D38)</f>
        <v>65152.1</v>
      </c>
      <c r="E42" s="1">
        <f>SUM(E8,E22,E32,E34,E38)</f>
        <v>72820.7</v>
      </c>
      <c r="F42" s="1">
        <f t="shared" si="0"/>
        <v>65152.1</v>
      </c>
      <c r="G42" s="1">
        <f t="shared" si="1"/>
        <v>-7668.5999999999985</v>
      </c>
      <c r="H42" s="1">
        <f t="shared" si="2"/>
        <v>89.469203124935632</v>
      </c>
      <c r="J42" s="66"/>
      <c r="K42" s="66"/>
    </row>
    <row r="43" spans="1:11" ht="33" customHeight="1">
      <c r="A43" s="72" t="s">
        <v>118</v>
      </c>
      <c r="B43" s="5">
        <v>1220</v>
      </c>
      <c r="C43" s="1">
        <f>SUM(C9,C16,C25,C33,C35,C37)</f>
        <v>-56252.100000000006</v>
      </c>
      <c r="D43" s="1">
        <f>SUM(D9,D16,D25,D33,D35,D37)</f>
        <v>-62452.800000000003</v>
      </c>
      <c r="E43" s="1">
        <f>SUM(E9,E16,E25,E33,E35,E37)</f>
        <v>-72820.7</v>
      </c>
      <c r="F43" s="1">
        <f t="shared" si="0"/>
        <v>-62452.800000000003</v>
      </c>
      <c r="G43" s="1">
        <f t="shared" si="1"/>
        <v>10367.899999999994</v>
      </c>
      <c r="H43" s="1">
        <f t="shared" si="2"/>
        <v>85.762427441647787</v>
      </c>
      <c r="I43" s="66"/>
    </row>
    <row r="44" spans="1:11" ht="33" customHeight="1">
      <c r="A44" s="214" t="s">
        <v>132</v>
      </c>
      <c r="B44" s="214"/>
      <c r="C44" s="214"/>
      <c r="D44" s="214"/>
      <c r="E44" s="214"/>
      <c r="F44" s="214"/>
      <c r="G44" s="214"/>
      <c r="H44" s="214"/>
      <c r="J44" s="66"/>
      <c r="K44" s="66"/>
    </row>
    <row r="45" spans="1:11" ht="33" customHeight="1">
      <c r="A45" s="73" t="s">
        <v>56</v>
      </c>
      <c r="B45" s="152">
        <v>9000</v>
      </c>
      <c r="C45" s="7">
        <v>6857.8</v>
      </c>
      <c r="D45" s="7">
        <v>13188.4</v>
      </c>
      <c r="E45" s="7">
        <v>8232.4</v>
      </c>
      <c r="F45" s="7">
        <f>D45</f>
        <v>13188.4</v>
      </c>
      <c r="G45" s="12">
        <f t="shared" ref="G45:G50" si="5">F45-E45</f>
        <v>4956</v>
      </c>
      <c r="H45" s="12">
        <f t="shared" ref="H45:H50" si="6">(F45/E45)*100</f>
        <v>160.20115640639426</v>
      </c>
    </row>
    <row r="46" spans="1:11" ht="33" customHeight="1">
      <c r="A46" s="73" t="s">
        <v>2</v>
      </c>
      <c r="B46" s="152">
        <v>9010</v>
      </c>
      <c r="C46" s="7">
        <v>35108.199999999997</v>
      </c>
      <c r="D46" s="7">
        <v>33618.1</v>
      </c>
      <c r="E46" s="7">
        <v>46215.4</v>
      </c>
      <c r="F46" s="7">
        <f>D46</f>
        <v>33618.1</v>
      </c>
      <c r="G46" s="12">
        <f t="shared" si="5"/>
        <v>-12597.300000000003</v>
      </c>
      <c r="H46" s="12">
        <f t="shared" si="6"/>
        <v>72.742202815511703</v>
      </c>
    </row>
    <row r="47" spans="1:11" ht="33" customHeight="1">
      <c r="A47" s="73" t="s">
        <v>3</v>
      </c>
      <c r="B47" s="152">
        <v>9020</v>
      </c>
      <c r="C47" s="7">
        <v>7393.1</v>
      </c>
      <c r="D47" s="7">
        <v>7192.2</v>
      </c>
      <c r="E47" s="7">
        <v>11268.2</v>
      </c>
      <c r="F47" s="7">
        <f>D47</f>
        <v>7192.2</v>
      </c>
      <c r="G47" s="12">
        <f t="shared" si="5"/>
        <v>-4076.0000000000009</v>
      </c>
      <c r="H47" s="12">
        <f t="shared" si="6"/>
        <v>63.827408104222492</v>
      </c>
    </row>
    <row r="48" spans="1:11" ht="33" customHeight="1">
      <c r="A48" s="73" t="s">
        <v>4</v>
      </c>
      <c r="B48" s="152">
        <v>9030</v>
      </c>
      <c r="C48" s="7">
        <v>1420.8</v>
      </c>
      <c r="D48" s="7">
        <v>2914</v>
      </c>
      <c r="E48" s="7">
        <v>1430</v>
      </c>
      <c r="F48" s="7">
        <f>D48</f>
        <v>2914</v>
      </c>
      <c r="G48" s="12">
        <f t="shared" si="5"/>
        <v>1484</v>
      </c>
      <c r="H48" s="12">
        <f t="shared" si="6"/>
        <v>203.77622377622379</v>
      </c>
    </row>
    <row r="49" spans="1:8" ht="33" customHeight="1">
      <c r="A49" s="73" t="s">
        <v>6</v>
      </c>
      <c r="B49" s="152">
        <v>9040</v>
      </c>
      <c r="C49" s="7">
        <v>5472.2</v>
      </c>
      <c r="D49" s="7">
        <v>5540.1</v>
      </c>
      <c r="E49" s="7">
        <v>5674.7</v>
      </c>
      <c r="F49" s="7">
        <f>D49</f>
        <v>5540.1</v>
      </c>
      <c r="G49" s="12">
        <f t="shared" si="5"/>
        <v>-134.59999999999945</v>
      </c>
      <c r="H49" s="12">
        <f t="shared" si="6"/>
        <v>97.628068444146834</v>
      </c>
    </row>
    <row r="50" spans="1:8" ht="33" customHeight="1">
      <c r="A50" s="75" t="s">
        <v>9</v>
      </c>
      <c r="B50" s="150">
        <v>9050</v>
      </c>
      <c r="C50" s="1">
        <f>SUM(C45:C49)</f>
        <v>56252.1</v>
      </c>
      <c r="D50" s="1">
        <f>SUM(D45:D49)</f>
        <v>62452.799999999996</v>
      </c>
      <c r="E50" s="1">
        <f>SUM(E45:E49)</f>
        <v>72820.7</v>
      </c>
      <c r="F50" s="1">
        <f>SUM(F45:F49)</f>
        <v>62452.799999999996</v>
      </c>
      <c r="G50" s="2">
        <f t="shared" si="5"/>
        <v>-10367.900000000001</v>
      </c>
      <c r="H50" s="2">
        <f t="shared" si="6"/>
        <v>85.762427441647773</v>
      </c>
    </row>
    <row r="51" spans="1:8" ht="33" customHeight="1">
      <c r="A51" s="224" t="s">
        <v>100</v>
      </c>
      <c r="B51" s="224"/>
      <c r="C51" s="224"/>
      <c r="D51" s="224"/>
      <c r="E51" s="224"/>
      <c r="F51" s="224"/>
      <c r="G51" s="224"/>
      <c r="H51" s="224"/>
    </row>
    <row r="52" spans="1:8" ht="69" customHeight="1">
      <c r="A52" s="76" t="s">
        <v>137</v>
      </c>
      <c r="B52" s="5">
        <v>2110</v>
      </c>
      <c r="C52" s="1">
        <f>SUM(C53:C56)</f>
        <v>-576.22299999999996</v>
      </c>
      <c r="D52" s="1">
        <f>SUM(D53:D56)</f>
        <v>-578.17149999999992</v>
      </c>
      <c r="E52" s="1">
        <f>SUM(E53:E56)</f>
        <v>-743.23100000000011</v>
      </c>
      <c r="F52" s="1">
        <f>SUM(F53:F56)</f>
        <v>-578.17149999999992</v>
      </c>
      <c r="G52" s="1">
        <f t="shared" ref="G52:G68" si="7">F52-E52</f>
        <v>165.05950000000018</v>
      </c>
      <c r="H52" s="1">
        <f>(F52/E52)*100</f>
        <v>77.791628713011136</v>
      </c>
    </row>
    <row r="53" spans="1:8" ht="44.25" customHeight="1">
      <c r="A53" s="73" t="s">
        <v>53</v>
      </c>
      <c r="B53" s="151">
        <v>2111</v>
      </c>
      <c r="C53" s="7">
        <v>-49.6</v>
      </c>
      <c r="D53" s="7">
        <v>-73.900000000000006</v>
      </c>
      <c r="E53" s="7">
        <v>-50</v>
      </c>
      <c r="F53" s="7">
        <f>D53</f>
        <v>-73.900000000000006</v>
      </c>
      <c r="G53" s="7">
        <f t="shared" si="7"/>
        <v>-23.900000000000006</v>
      </c>
      <c r="H53" s="7">
        <f t="shared" ref="H53:H68" si="8">(F53/E53)*100</f>
        <v>147.80000000000001</v>
      </c>
    </row>
    <row r="54" spans="1:8" ht="45.75" customHeight="1">
      <c r="A54" s="77" t="s">
        <v>54</v>
      </c>
      <c r="B54" s="151">
        <v>2112</v>
      </c>
      <c r="C54" s="7" t="s">
        <v>26</v>
      </c>
      <c r="D54" s="7" t="s">
        <v>26</v>
      </c>
      <c r="E54" s="7" t="s">
        <v>26</v>
      </c>
      <c r="F54" s="7" t="s">
        <v>26</v>
      </c>
      <c r="G54" s="70" t="e">
        <f t="shared" si="7"/>
        <v>#VALUE!</v>
      </c>
      <c r="H54" s="70" t="e">
        <f t="shared" si="8"/>
        <v>#VALUE!</v>
      </c>
    </row>
    <row r="55" spans="1:8" ht="28.5" customHeight="1">
      <c r="A55" s="73" t="s">
        <v>61</v>
      </c>
      <c r="B55" s="151">
        <v>2113</v>
      </c>
      <c r="C55" s="7">
        <f>-C46*1.5/100</f>
        <v>-526.62299999999993</v>
      </c>
      <c r="D55" s="7">
        <f>-D46*1.5/100</f>
        <v>-504.27149999999995</v>
      </c>
      <c r="E55" s="7">
        <f>-E46*1.5/100</f>
        <v>-693.23100000000011</v>
      </c>
      <c r="F55" s="7">
        <f>D55</f>
        <v>-504.27149999999995</v>
      </c>
      <c r="G55" s="7">
        <f t="shared" si="7"/>
        <v>188.95950000000016</v>
      </c>
      <c r="H55" s="7">
        <f t="shared" si="8"/>
        <v>72.742202815511689</v>
      </c>
    </row>
    <row r="56" spans="1:8" ht="33" customHeight="1">
      <c r="A56" s="73" t="s">
        <v>40</v>
      </c>
      <c r="B56" s="151">
        <v>2114</v>
      </c>
      <c r="C56" s="7" t="s">
        <v>26</v>
      </c>
      <c r="D56" s="7" t="s">
        <v>26</v>
      </c>
      <c r="E56" s="7" t="s">
        <v>26</v>
      </c>
      <c r="F56" s="7" t="s">
        <v>26</v>
      </c>
      <c r="G56" s="70" t="e">
        <f t="shared" si="7"/>
        <v>#VALUE!</v>
      </c>
      <c r="H56" s="70" t="e">
        <f t="shared" si="8"/>
        <v>#VALUE!</v>
      </c>
    </row>
    <row r="57" spans="1:8" ht="43.5" customHeight="1">
      <c r="A57" s="78" t="s">
        <v>58</v>
      </c>
      <c r="B57" s="150">
        <v>2120</v>
      </c>
      <c r="C57" s="1">
        <f>SUM(C58:C63)</f>
        <v>-6319.4759999999997</v>
      </c>
      <c r="D57" s="1">
        <f>SUM(D58:D63)</f>
        <v>-6051.8579999999993</v>
      </c>
      <c r="E57" s="1">
        <f>SUM(E58:E63)</f>
        <v>-8319.0720000000001</v>
      </c>
      <c r="F57" s="1">
        <f>SUM(F58:F63)</f>
        <v>-6051.8579999999993</v>
      </c>
      <c r="G57" s="1">
        <f t="shared" si="7"/>
        <v>2267.2140000000009</v>
      </c>
      <c r="H57" s="1">
        <f t="shared" si="8"/>
        <v>72.746791949871323</v>
      </c>
    </row>
    <row r="58" spans="1:8" ht="36" customHeight="1">
      <c r="A58" s="77" t="s">
        <v>38</v>
      </c>
      <c r="B58" s="152">
        <v>2121</v>
      </c>
      <c r="C58" s="7" t="s">
        <v>26</v>
      </c>
      <c r="D58" s="7" t="s">
        <v>26</v>
      </c>
      <c r="E58" s="7" t="s">
        <v>26</v>
      </c>
      <c r="F58" s="7" t="s">
        <v>26</v>
      </c>
      <c r="G58" s="70" t="e">
        <f t="shared" si="7"/>
        <v>#VALUE!</v>
      </c>
      <c r="H58" s="70" t="e">
        <f t="shared" si="8"/>
        <v>#VALUE!</v>
      </c>
    </row>
    <row r="59" spans="1:8" ht="33.75" customHeight="1">
      <c r="A59" s="73" t="s">
        <v>14</v>
      </c>
      <c r="B59" s="152">
        <v>2122</v>
      </c>
      <c r="C59" s="7">
        <f>-C46*18/100</f>
        <v>-6319.4759999999997</v>
      </c>
      <c r="D59" s="7">
        <f>-D46*18/100</f>
        <v>-6051.2579999999989</v>
      </c>
      <c r="E59" s="7">
        <f>-E46*18/100</f>
        <v>-8318.7720000000008</v>
      </c>
      <c r="F59" s="7">
        <f>D59</f>
        <v>-6051.2579999999989</v>
      </c>
      <c r="G59" s="7">
        <f t="shared" si="7"/>
        <v>2267.5140000000019</v>
      </c>
      <c r="H59" s="7">
        <f>(F59/E59)*100</f>
        <v>72.742202815511689</v>
      </c>
    </row>
    <row r="60" spans="1:8" ht="31.5" customHeight="1">
      <c r="A60" s="73" t="s">
        <v>44</v>
      </c>
      <c r="B60" s="152">
        <v>2123</v>
      </c>
      <c r="C60" s="7"/>
      <c r="D60" s="7">
        <v>-0.6</v>
      </c>
      <c r="E60" s="7">
        <v>-0.3</v>
      </c>
      <c r="F60" s="7">
        <f>D60</f>
        <v>-0.6</v>
      </c>
      <c r="G60" s="70">
        <f t="shared" si="7"/>
        <v>-0.3</v>
      </c>
      <c r="H60" s="70">
        <f t="shared" si="8"/>
        <v>200</v>
      </c>
    </row>
    <row r="61" spans="1:8" ht="31.5" customHeight="1">
      <c r="A61" s="73" t="s">
        <v>45</v>
      </c>
      <c r="B61" s="152">
        <v>2124</v>
      </c>
      <c r="C61" s="7" t="s">
        <v>26</v>
      </c>
      <c r="D61" s="7" t="s">
        <v>26</v>
      </c>
      <c r="E61" s="7" t="s">
        <v>26</v>
      </c>
      <c r="F61" s="7" t="s">
        <v>26</v>
      </c>
      <c r="G61" s="70" t="e">
        <f t="shared" si="7"/>
        <v>#VALUE!</v>
      </c>
      <c r="H61" s="70" t="e">
        <f t="shared" si="8"/>
        <v>#VALUE!</v>
      </c>
    </row>
    <row r="62" spans="1:8" ht="103.5" customHeight="1">
      <c r="A62" s="73" t="s">
        <v>345</v>
      </c>
      <c r="B62" s="152">
        <v>2125</v>
      </c>
      <c r="C62" s="7" t="s">
        <v>26</v>
      </c>
      <c r="D62" s="7" t="s">
        <v>26</v>
      </c>
      <c r="E62" s="7" t="s">
        <v>26</v>
      </c>
      <c r="F62" s="7" t="s">
        <v>26</v>
      </c>
      <c r="G62" s="70" t="e">
        <f t="shared" si="7"/>
        <v>#VALUE!</v>
      </c>
      <c r="H62" s="70" t="e">
        <f t="shared" si="8"/>
        <v>#VALUE!</v>
      </c>
    </row>
    <row r="63" spans="1:8" ht="31.5" customHeight="1">
      <c r="A63" s="73" t="s">
        <v>40</v>
      </c>
      <c r="B63" s="152">
        <v>2126</v>
      </c>
      <c r="C63" s="7" t="s">
        <v>26</v>
      </c>
      <c r="D63" s="7" t="s">
        <v>26</v>
      </c>
      <c r="E63" s="7" t="s">
        <v>26</v>
      </c>
      <c r="F63" s="7" t="s">
        <v>26</v>
      </c>
      <c r="G63" s="70" t="e">
        <f t="shared" si="7"/>
        <v>#VALUE!</v>
      </c>
      <c r="H63" s="70" t="e">
        <f t="shared" si="8"/>
        <v>#VALUE!</v>
      </c>
    </row>
    <row r="64" spans="1:8" ht="48" customHeight="1">
      <c r="A64" s="76" t="s">
        <v>59</v>
      </c>
      <c r="B64" s="150">
        <v>2130</v>
      </c>
      <c r="C64" s="1">
        <f>SUM(C65:C67)</f>
        <v>-7569.1</v>
      </c>
      <c r="D64" s="1">
        <f>SUM(D65:D67)</f>
        <v>-7310.8</v>
      </c>
      <c r="E64" s="1">
        <f>SUM(E65:E67)</f>
        <v>-11418.2</v>
      </c>
      <c r="F64" s="1">
        <f>SUM(F65:F67)</f>
        <v>-7310.8</v>
      </c>
      <c r="G64" s="1">
        <f t="shared" si="7"/>
        <v>4107.4000000000005</v>
      </c>
      <c r="H64" s="1">
        <f t="shared" si="8"/>
        <v>64.027605051584317</v>
      </c>
    </row>
    <row r="65" spans="1:9" ht="33" customHeight="1">
      <c r="A65" s="73" t="s">
        <v>41</v>
      </c>
      <c r="B65" s="152">
        <v>2131</v>
      </c>
      <c r="C65" s="7" t="s">
        <v>26</v>
      </c>
      <c r="D65" s="7" t="s">
        <v>26</v>
      </c>
      <c r="E65" s="7" t="s">
        <v>26</v>
      </c>
      <c r="F65" s="7" t="s">
        <v>26</v>
      </c>
      <c r="G65" s="70" t="e">
        <f t="shared" si="7"/>
        <v>#VALUE!</v>
      </c>
      <c r="H65" s="70" t="e">
        <f t="shared" si="8"/>
        <v>#VALUE!</v>
      </c>
    </row>
    <row r="66" spans="1:9" ht="44.25" customHeight="1">
      <c r="A66" s="73" t="s">
        <v>42</v>
      </c>
      <c r="B66" s="152">
        <v>2132</v>
      </c>
      <c r="C66" s="7">
        <v>-7393.1</v>
      </c>
      <c r="D66" s="7">
        <f>-D47</f>
        <v>-7192.2</v>
      </c>
      <c r="E66" s="7">
        <v>-11268.2</v>
      </c>
      <c r="F66" s="7">
        <f>D66</f>
        <v>-7192.2</v>
      </c>
      <c r="G66" s="7">
        <f>F66-E66</f>
        <v>4076.0000000000009</v>
      </c>
      <c r="H66" s="7">
        <f t="shared" si="8"/>
        <v>63.827408104222492</v>
      </c>
    </row>
    <row r="67" spans="1:9" ht="35.25" customHeight="1">
      <c r="A67" s="73" t="s">
        <v>43</v>
      </c>
      <c r="B67" s="152">
        <v>2133</v>
      </c>
      <c r="C67" s="7">
        <v>-176</v>
      </c>
      <c r="D67" s="7">
        <v>-118.6</v>
      </c>
      <c r="E67" s="7">
        <v>-150</v>
      </c>
      <c r="F67" s="7">
        <f>D67</f>
        <v>-118.6</v>
      </c>
      <c r="G67" s="7">
        <f t="shared" si="7"/>
        <v>31.400000000000006</v>
      </c>
      <c r="H67" s="7">
        <f t="shared" si="8"/>
        <v>79.066666666666663</v>
      </c>
      <c r="I67" s="55" t="s">
        <v>251</v>
      </c>
    </row>
    <row r="68" spans="1:9" ht="30.75" customHeight="1">
      <c r="A68" s="78" t="s">
        <v>55</v>
      </c>
      <c r="B68" s="150">
        <v>2200</v>
      </c>
      <c r="C68" s="1">
        <f>SUM(C52+C57+C64)</f>
        <v>-14464.798999999999</v>
      </c>
      <c r="D68" s="1">
        <f>SUM(D52+D57+D64)</f>
        <v>-13940.8295</v>
      </c>
      <c r="E68" s="1">
        <f>SUM(E52+E57+E64)</f>
        <v>-20480.503000000001</v>
      </c>
      <c r="F68" s="1">
        <f>SUM(F52+F57+F64)</f>
        <v>-13940.8295</v>
      </c>
      <c r="G68" s="1">
        <f t="shared" si="7"/>
        <v>6539.6735000000008</v>
      </c>
      <c r="H68" s="1">
        <f t="shared" si="8"/>
        <v>68.068784736390512</v>
      </c>
    </row>
    <row r="69" spans="1:9" ht="33" customHeight="1">
      <c r="A69" s="225" t="s">
        <v>101</v>
      </c>
      <c r="B69" s="225"/>
      <c r="C69" s="225"/>
      <c r="D69" s="225"/>
      <c r="E69" s="225"/>
      <c r="F69" s="225"/>
      <c r="G69" s="225"/>
      <c r="H69" s="225"/>
    </row>
    <row r="70" spans="1:9" ht="27.75" customHeight="1">
      <c r="A70" s="72" t="s">
        <v>19</v>
      </c>
      <c r="B70" s="5">
        <v>4000</v>
      </c>
      <c r="C70" s="1">
        <f>SUM(C71:C77)</f>
        <v>-3946.2</v>
      </c>
      <c r="D70" s="1">
        <f>SUM(D71:D77)</f>
        <v>-2742.7</v>
      </c>
      <c r="E70" s="1">
        <f>SUM(E71:E77)</f>
        <v>0</v>
      </c>
      <c r="F70" s="1">
        <f>SUM(F71:F77)</f>
        <v>-2742.7</v>
      </c>
      <c r="G70" s="1">
        <f>F70-E70</f>
        <v>-2742.7</v>
      </c>
      <c r="H70" s="1" t="e">
        <f>(F70/E70)*100</f>
        <v>#DIV/0!</v>
      </c>
    </row>
    <row r="71" spans="1:9" ht="37.5" customHeight="1">
      <c r="A71" s="73" t="s">
        <v>62</v>
      </c>
      <c r="B71" s="151">
        <v>4010</v>
      </c>
      <c r="C71" s="7" t="s">
        <v>26</v>
      </c>
      <c r="D71" s="7" t="s">
        <v>26</v>
      </c>
      <c r="E71" s="7" t="s">
        <v>26</v>
      </c>
      <c r="F71" s="7" t="s">
        <v>26</v>
      </c>
      <c r="G71" s="70" t="e">
        <f t="shared" ref="G71:G77" si="9">F71-E71</f>
        <v>#VALUE!</v>
      </c>
      <c r="H71" s="70" t="e">
        <f t="shared" ref="H71:H77" si="10">(F71/E71)*100</f>
        <v>#VALUE!</v>
      </c>
    </row>
    <row r="72" spans="1:9" ht="48.75" customHeight="1">
      <c r="A72" s="73" t="s">
        <v>128</v>
      </c>
      <c r="B72" s="151">
        <v>4020</v>
      </c>
      <c r="C72" s="7">
        <v>-3496.2</v>
      </c>
      <c r="D72" s="7">
        <v>-2044.8</v>
      </c>
      <c r="E72" s="7" t="s">
        <v>26</v>
      </c>
      <c r="F72" s="7">
        <f>D72</f>
        <v>-2044.8</v>
      </c>
      <c r="G72" s="70" t="e">
        <f t="shared" si="9"/>
        <v>#VALUE!</v>
      </c>
      <c r="H72" s="70" t="e">
        <f t="shared" si="10"/>
        <v>#VALUE!</v>
      </c>
    </row>
    <row r="73" spans="1:9" ht="48.75" customHeight="1">
      <c r="A73" s="73" t="s">
        <v>71</v>
      </c>
      <c r="B73" s="151">
        <v>4030</v>
      </c>
      <c r="C73" s="7">
        <v>-145.1</v>
      </c>
      <c r="D73" s="7">
        <v>-453.9</v>
      </c>
      <c r="E73" s="7" t="s">
        <v>26</v>
      </c>
      <c r="F73" s="7">
        <f>D73</f>
        <v>-453.9</v>
      </c>
      <c r="G73" s="70" t="e">
        <f t="shared" si="9"/>
        <v>#VALUE!</v>
      </c>
      <c r="H73" s="70" t="e">
        <f t="shared" si="10"/>
        <v>#VALUE!</v>
      </c>
    </row>
    <row r="74" spans="1:9" ht="49.5" customHeight="1">
      <c r="A74" s="73" t="s">
        <v>129</v>
      </c>
      <c r="B74" s="151">
        <v>4040</v>
      </c>
      <c r="C74" s="7" t="s">
        <v>26</v>
      </c>
      <c r="D74" s="7" t="s">
        <v>26</v>
      </c>
      <c r="E74" s="7" t="s">
        <v>26</v>
      </c>
      <c r="F74" s="7" t="s">
        <v>26</v>
      </c>
      <c r="G74" s="70" t="e">
        <f t="shared" si="9"/>
        <v>#VALUE!</v>
      </c>
      <c r="H74" s="70" t="e">
        <f t="shared" si="10"/>
        <v>#VALUE!</v>
      </c>
    </row>
    <row r="75" spans="1:9" ht="73.5" customHeight="1">
      <c r="A75" s="73" t="s">
        <v>63</v>
      </c>
      <c r="B75" s="151">
        <v>4050</v>
      </c>
      <c r="C75" s="7" t="s">
        <v>26</v>
      </c>
      <c r="D75" s="7" t="s">
        <v>26</v>
      </c>
      <c r="E75" s="7" t="s">
        <v>26</v>
      </c>
      <c r="F75" s="7" t="s">
        <v>26</v>
      </c>
      <c r="G75" s="70" t="e">
        <f t="shared" si="9"/>
        <v>#VALUE!</v>
      </c>
      <c r="H75" s="70" t="e">
        <f t="shared" si="10"/>
        <v>#VALUE!</v>
      </c>
    </row>
    <row r="76" spans="1:9" ht="36.75" customHeight="1">
      <c r="A76" s="73" t="s">
        <v>64</v>
      </c>
      <c r="B76" s="151">
        <v>4060</v>
      </c>
      <c r="C76" s="7">
        <v>-304.89999999999998</v>
      </c>
      <c r="D76" s="7">
        <v>-244</v>
      </c>
      <c r="E76" s="7" t="s">
        <v>26</v>
      </c>
      <c r="F76" s="7">
        <v>-244</v>
      </c>
      <c r="G76" s="70" t="e">
        <f t="shared" si="9"/>
        <v>#VALUE!</v>
      </c>
      <c r="H76" s="70" t="e">
        <f t="shared" si="10"/>
        <v>#VALUE!</v>
      </c>
    </row>
    <row r="77" spans="1:9" ht="39.75" customHeight="1">
      <c r="A77" s="73" t="s">
        <v>50</v>
      </c>
      <c r="B77" s="151">
        <v>4070</v>
      </c>
      <c r="C77" s="7" t="s">
        <v>26</v>
      </c>
      <c r="D77" s="7" t="s">
        <v>26</v>
      </c>
      <c r="E77" s="7" t="s">
        <v>26</v>
      </c>
      <c r="F77" s="7" t="s">
        <v>26</v>
      </c>
      <c r="G77" s="70" t="e">
        <f t="shared" si="9"/>
        <v>#VALUE!</v>
      </c>
      <c r="H77" s="70" t="e">
        <f t="shared" si="10"/>
        <v>#VALUE!</v>
      </c>
    </row>
    <row r="78" spans="1:9" ht="36.75" customHeight="1">
      <c r="A78" s="224" t="s">
        <v>102</v>
      </c>
      <c r="B78" s="224"/>
      <c r="C78" s="224"/>
      <c r="D78" s="224"/>
      <c r="E78" s="224"/>
      <c r="F78" s="224"/>
      <c r="G78" s="224"/>
      <c r="H78" s="224"/>
    </row>
    <row r="79" spans="1:9" ht="59.25" customHeight="1">
      <c r="A79" s="155"/>
      <c r="B79" s="155"/>
      <c r="C79" s="218" t="s">
        <v>122</v>
      </c>
      <c r="D79" s="218"/>
      <c r="E79" s="217" t="s">
        <v>365</v>
      </c>
      <c r="F79" s="217"/>
      <c r="G79" s="217"/>
      <c r="H79" s="217"/>
    </row>
    <row r="80" spans="1:9" ht="45" customHeight="1">
      <c r="A80" s="155"/>
      <c r="B80" s="155"/>
      <c r="C80" s="152" t="s">
        <v>363</v>
      </c>
      <c r="D80" s="152" t="s">
        <v>364</v>
      </c>
      <c r="E80" s="4" t="s">
        <v>108</v>
      </c>
      <c r="F80" s="4" t="s">
        <v>109</v>
      </c>
      <c r="G80" s="4" t="s">
        <v>110</v>
      </c>
      <c r="H80" s="4" t="s">
        <v>111</v>
      </c>
    </row>
    <row r="81" spans="1:18" s="153" customFormat="1" ht="86.25" customHeight="1">
      <c r="A81" s="78" t="s">
        <v>130</v>
      </c>
      <c r="B81" s="9" t="s">
        <v>30</v>
      </c>
      <c r="C81" s="10">
        <f>SUM(C82:C84)</f>
        <v>475</v>
      </c>
      <c r="D81" s="10">
        <f>SUM(D82:D84)</f>
        <v>495</v>
      </c>
      <c r="E81" s="10">
        <f>SUM(E82:E84)</f>
        <v>568</v>
      </c>
      <c r="F81" s="10">
        <f>SUM(F82:F84)</f>
        <v>495</v>
      </c>
      <c r="G81" s="10" t="s">
        <v>131</v>
      </c>
      <c r="H81" s="2" t="s">
        <v>131</v>
      </c>
    </row>
    <row r="82" spans="1:18" ht="27.75" customHeight="1">
      <c r="A82" s="74" t="s">
        <v>21</v>
      </c>
      <c r="B82" s="151" t="s">
        <v>31</v>
      </c>
      <c r="C82" s="11">
        <v>1</v>
      </c>
      <c r="D82" s="11">
        <v>1</v>
      </c>
      <c r="E82" s="11">
        <v>1</v>
      </c>
      <c r="F82" s="11">
        <f>D82</f>
        <v>1</v>
      </c>
      <c r="G82" s="11" t="s">
        <v>131</v>
      </c>
      <c r="H82" s="12" t="s">
        <v>131</v>
      </c>
      <c r="K82" s="64"/>
      <c r="L82" s="64"/>
    </row>
    <row r="83" spans="1:18" ht="27.75" customHeight="1">
      <c r="A83" s="74" t="s">
        <v>24</v>
      </c>
      <c r="B83" s="151" t="s">
        <v>32</v>
      </c>
      <c r="C83" s="11">
        <v>50</v>
      </c>
      <c r="D83" s="11">
        <v>42</v>
      </c>
      <c r="E83" s="11">
        <v>51</v>
      </c>
      <c r="F83" s="11">
        <f t="shared" ref="F83:F84" si="11">D83</f>
        <v>42</v>
      </c>
      <c r="G83" s="11" t="s">
        <v>131</v>
      </c>
      <c r="H83" s="12" t="s">
        <v>131</v>
      </c>
      <c r="J83" s="64"/>
      <c r="K83" s="64"/>
      <c r="L83" s="67"/>
    </row>
    <row r="84" spans="1:18" ht="27.75" customHeight="1">
      <c r="A84" s="74" t="s">
        <v>22</v>
      </c>
      <c r="B84" s="151" t="s">
        <v>33</v>
      </c>
      <c r="C84" s="11">
        <v>424</v>
      </c>
      <c r="D84" s="11">
        <v>452</v>
      </c>
      <c r="E84" s="11">
        <v>516</v>
      </c>
      <c r="F84" s="11">
        <f t="shared" si="11"/>
        <v>452</v>
      </c>
      <c r="G84" s="11" t="s">
        <v>131</v>
      </c>
      <c r="H84" s="12" t="s">
        <v>131</v>
      </c>
      <c r="J84" s="64"/>
      <c r="K84" s="64"/>
      <c r="L84" s="67"/>
      <c r="M84" s="87"/>
      <c r="N84" s="88"/>
      <c r="O84" s="89"/>
      <c r="P84" s="89"/>
      <c r="Q84" s="89"/>
      <c r="R84" s="89"/>
    </row>
    <row r="85" spans="1:18" ht="27.75" customHeight="1">
      <c r="A85" s="72" t="s">
        <v>72</v>
      </c>
      <c r="B85" s="5" t="s">
        <v>34</v>
      </c>
      <c r="C85" s="1">
        <f>SUM(C86:C88)</f>
        <v>35108.199999999997</v>
      </c>
      <c r="D85" s="1">
        <f>SUM(D86:D88)</f>
        <v>33618.1</v>
      </c>
      <c r="E85" s="1">
        <f>SUM(E86:E88)</f>
        <v>46215.4</v>
      </c>
      <c r="F85" s="1">
        <f>SUM(F86:F88)</f>
        <v>33618.1</v>
      </c>
      <c r="G85" s="2" t="s">
        <v>131</v>
      </c>
      <c r="H85" s="2" t="s">
        <v>131</v>
      </c>
      <c r="I85" s="64"/>
      <c r="J85" s="64"/>
      <c r="K85" s="64"/>
      <c r="M85" s="90"/>
      <c r="N85" s="91"/>
      <c r="O85" s="92"/>
      <c r="P85" s="92"/>
      <c r="Q85" s="92"/>
      <c r="R85" s="92"/>
    </row>
    <row r="86" spans="1:18" ht="27.75" customHeight="1">
      <c r="A86" s="74" t="s">
        <v>21</v>
      </c>
      <c r="B86" s="151">
        <v>8011</v>
      </c>
      <c r="C86" s="7">
        <v>300.10000000000002</v>
      </c>
      <c r="D86" s="7">
        <v>272.3</v>
      </c>
      <c r="E86" s="65">
        <v>212</v>
      </c>
      <c r="F86" s="65">
        <f>D86</f>
        <v>272.3</v>
      </c>
      <c r="G86" s="12" t="s">
        <v>131</v>
      </c>
      <c r="H86" s="12" t="s">
        <v>131</v>
      </c>
      <c r="J86" s="64"/>
      <c r="K86" s="64"/>
      <c r="M86" s="90"/>
      <c r="N86" s="91"/>
      <c r="O86" s="92"/>
      <c r="P86" s="92"/>
      <c r="Q86" s="92"/>
      <c r="R86" s="92"/>
    </row>
    <row r="87" spans="1:18" ht="27.75" customHeight="1">
      <c r="A87" s="74" t="s">
        <v>24</v>
      </c>
      <c r="B87" s="151">
        <v>8012</v>
      </c>
      <c r="C87" s="7">
        <v>4210</v>
      </c>
      <c r="D87" s="7">
        <v>2410.4</v>
      </c>
      <c r="E87" s="65">
        <v>4149.6000000000004</v>
      </c>
      <c r="F87" s="65">
        <f>D87</f>
        <v>2410.4</v>
      </c>
      <c r="G87" s="12" t="s">
        <v>131</v>
      </c>
      <c r="H87" s="12" t="s">
        <v>131</v>
      </c>
      <c r="J87" s="64"/>
      <c r="K87" s="64"/>
      <c r="M87" s="90"/>
      <c r="N87" s="91"/>
      <c r="O87" s="92"/>
      <c r="P87" s="92"/>
      <c r="Q87" s="92"/>
      <c r="R87" s="92"/>
    </row>
    <row r="88" spans="1:18" ht="27.75" customHeight="1">
      <c r="A88" s="74" t="s">
        <v>22</v>
      </c>
      <c r="B88" s="151">
        <v>8013</v>
      </c>
      <c r="C88" s="7">
        <v>30598.1</v>
      </c>
      <c r="D88" s="7">
        <v>30935.4</v>
      </c>
      <c r="E88" s="65">
        <v>41853.800000000003</v>
      </c>
      <c r="F88" s="65">
        <f>D88</f>
        <v>30935.4</v>
      </c>
      <c r="G88" s="12" t="s">
        <v>131</v>
      </c>
      <c r="H88" s="12" t="s">
        <v>131</v>
      </c>
      <c r="J88" s="64"/>
      <c r="K88" s="64"/>
      <c r="M88" s="93"/>
      <c r="N88" s="94"/>
      <c r="O88" s="95"/>
      <c r="P88" s="95"/>
      <c r="Q88" s="95"/>
      <c r="R88" s="95"/>
    </row>
    <row r="89" spans="1:18" ht="27.75" customHeight="1">
      <c r="A89" s="72" t="s">
        <v>2</v>
      </c>
      <c r="B89" s="5">
        <v>8020</v>
      </c>
      <c r="C89" s="1">
        <f>C46</f>
        <v>35108.199999999997</v>
      </c>
      <c r="D89" s="1">
        <f>D46</f>
        <v>33618.1</v>
      </c>
      <c r="E89" s="1">
        <f>E46</f>
        <v>46215.4</v>
      </c>
      <c r="F89" s="1">
        <f>F46</f>
        <v>33618.1</v>
      </c>
      <c r="G89" s="2" t="s">
        <v>131</v>
      </c>
      <c r="H89" s="2" t="s">
        <v>131</v>
      </c>
      <c r="J89" s="64"/>
      <c r="K89" s="64"/>
      <c r="M89" s="90"/>
      <c r="N89" s="91"/>
      <c r="O89" s="96"/>
      <c r="P89" s="96"/>
      <c r="Q89" s="96"/>
      <c r="R89" s="96"/>
    </row>
    <row r="90" spans="1:18" ht="27.75" customHeight="1">
      <c r="A90" s="74" t="s">
        <v>21</v>
      </c>
      <c r="B90" s="151">
        <v>8021</v>
      </c>
      <c r="C90" s="7">
        <v>300.10000000000002</v>
      </c>
      <c r="D90" s="7">
        <f>D86</f>
        <v>272.3</v>
      </c>
      <c r="E90" s="65">
        <f t="shared" ref="D90:E92" si="12">E86</f>
        <v>212</v>
      </c>
      <c r="F90" s="65">
        <f>D90</f>
        <v>272.3</v>
      </c>
      <c r="G90" s="12" t="s">
        <v>131</v>
      </c>
      <c r="H90" s="12" t="s">
        <v>131</v>
      </c>
      <c r="J90" s="64"/>
      <c r="K90" s="64"/>
      <c r="M90" s="90"/>
      <c r="N90" s="91"/>
      <c r="O90" s="96"/>
      <c r="P90" s="96"/>
      <c r="Q90" s="96"/>
      <c r="R90" s="96"/>
    </row>
    <row r="91" spans="1:18" ht="27.75" customHeight="1">
      <c r="A91" s="74" t="s">
        <v>24</v>
      </c>
      <c r="B91" s="151">
        <v>8022</v>
      </c>
      <c r="C91" s="7">
        <v>4210</v>
      </c>
      <c r="D91" s="7">
        <f t="shared" si="12"/>
        <v>2410.4</v>
      </c>
      <c r="E91" s="65">
        <f t="shared" si="12"/>
        <v>4149.6000000000004</v>
      </c>
      <c r="F91" s="65">
        <f>D91</f>
        <v>2410.4</v>
      </c>
      <c r="G91" s="12" t="s">
        <v>131</v>
      </c>
      <c r="H91" s="12" t="s">
        <v>131</v>
      </c>
      <c r="J91" s="64"/>
      <c r="K91" s="67"/>
      <c r="M91" s="90"/>
      <c r="N91" s="91"/>
      <c r="O91" s="96"/>
      <c r="P91" s="96"/>
      <c r="Q91" s="96"/>
      <c r="R91" s="96"/>
    </row>
    <row r="92" spans="1:18" ht="27.75" customHeight="1">
      <c r="A92" s="74" t="s">
        <v>22</v>
      </c>
      <c r="B92" s="151">
        <v>8023</v>
      </c>
      <c r="C92" s="7">
        <v>30598.1</v>
      </c>
      <c r="D92" s="7">
        <f t="shared" si="12"/>
        <v>30935.4</v>
      </c>
      <c r="E92" s="65">
        <f t="shared" si="12"/>
        <v>41853.800000000003</v>
      </c>
      <c r="F92" s="65">
        <f>D92</f>
        <v>30935.4</v>
      </c>
      <c r="G92" s="12" t="s">
        <v>131</v>
      </c>
      <c r="H92" s="12" t="s">
        <v>131</v>
      </c>
      <c r="J92" s="64"/>
      <c r="M92" s="93"/>
      <c r="N92" s="94"/>
      <c r="O92" s="95"/>
      <c r="P92" s="95"/>
      <c r="Q92" s="95"/>
      <c r="R92" s="95"/>
    </row>
    <row r="93" spans="1:18" s="153" customFormat="1" ht="66" customHeight="1">
      <c r="A93" s="78" t="s">
        <v>49</v>
      </c>
      <c r="B93" s="9" t="s">
        <v>73</v>
      </c>
      <c r="C93" s="10">
        <f t="shared" ref="C93:D96" si="13">(C89/C81)/6*1000</f>
        <v>12318.666666666666</v>
      </c>
      <c r="D93" s="10">
        <f t="shared" si="13"/>
        <v>11319.225589225589</v>
      </c>
      <c r="E93" s="10">
        <f t="shared" ref="E93" si="14">(E89/E81)/6*1000</f>
        <v>13560.856807511738</v>
      </c>
      <c r="F93" s="10">
        <f>(F89/F81)/6*1000</f>
        <v>11319.225589225589</v>
      </c>
      <c r="G93" s="10" t="s">
        <v>131</v>
      </c>
      <c r="H93" s="2" t="s">
        <v>131</v>
      </c>
      <c r="I93" s="140"/>
      <c r="M93" s="90"/>
      <c r="N93" s="91"/>
      <c r="O93" s="96"/>
      <c r="P93" s="96"/>
      <c r="Q93" s="96"/>
      <c r="R93" s="96"/>
    </row>
    <row r="94" spans="1:18" ht="27.75" customHeight="1">
      <c r="A94" s="74" t="s">
        <v>21</v>
      </c>
      <c r="B94" s="151">
        <v>8031</v>
      </c>
      <c r="C94" s="11">
        <f t="shared" si="13"/>
        <v>50016.666666666672</v>
      </c>
      <c r="D94" s="11">
        <f t="shared" si="13"/>
        <v>45383.333333333336</v>
      </c>
      <c r="E94" s="11">
        <f t="shared" ref="E94" si="15">(E90/E82)/6*1000</f>
        <v>35333.333333333336</v>
      </c>
      <c r="F94" s="11">
        <f>(F90/F82)/6*1000</f>
        <v>45383.333333333336</v>
      </c>
      <c r="G94" s="11" t="s">
        <v>131</v>
      </c>
      <c r="H94" s="12" t="s">
        <v>131</v>
      </c>
      <c r="M94" s="90"/>
      <c r="N94" s="91"/>
      <c r="O94" s="96"/>
      <c r="P94" s="96"/>
      <c r="Q94" s="96"/>
      <c r="R94" s="96"/>
    </row>
    <row r="95" spans="1:18" ht="27.75" customHeight="1">
      <c r="A95" s="74" t="s">
        <v>24</v>
      </c>
      <c r="B95" s="151">
        <v>8032</v>
      </c>
      <c r="C95" s="11">
        <f t="shared" si="13"/>
        <v>14033.333333333334</v>
      </c>
      <c r="D95" s="11">
        <f t="shared" si="13"/>
        <v>9565.0793650793657</v>
      </c>
      <c r="E95" s="11">
        <f t="shared" ref="E95" si="16">(E91/E83)/6*1000</f>
        <v>13560.784313725491</v>
      </c>
      <c r="F95" s="11">
        <f>(F91/F83)/6*1000</f>
        <v>9565.0793650793657</v>
      </c>
      <c r="G95" s="11" t="s">
        <v>131</v>
      </c>
      <c r="H95" s="12" t="s">
        <v>131</v>
      </c>
      <c r="M95" s="90"/>
      <c r="N95" s="91"/>
      <c r="O95" s="96"/>
      <c r="P95" s="96"/>
      <c r="Q95" s="96"/>
      <c r="R95" s="96"/>
    </row>
    <row r="96" spans="1:18" ht="27.75" customHeight="1">
      <c r="A96" s="74" t="s">
        <v>22</v>
      </c>
      <c r="B96" s="151">
        <v>8033</v>
      </c>
      <c r="C96" s="11">
        <f t="shared" si="13"/>
        <v>12027.55503144654</v>
      </c>
      <c r="D96" s="11">
        <f t="shared" si="13"/>
        <v>11406.858407079646</v>
      </c>
      <c r="E96" s="11">
        <f t="shared" ref="E96" si="17">(E92/E84)/6*1000</f>
        <v>13518.669250645997</v>
      </c>
      <c r="F96" s="11">
        <f>(F92/F84)/6*1000</f>
        <v>11406.858407079646</v>
      </c>
      <c r="G96" s="11" t="s">
        <v>131</v>
      </c>
      <c r="H96" s="12" t="s">
        <v>131</v>
      </c>
      <c r="M96" s="87"/>
      <c r="N96" s="88"/>
      <c r="O96" s="89"/>
      <c r="P96" s="89"/>
      <c r="Q96" s="89"/>
      <c r="R96" s="89"/>
    </row>
    <row r="97" spans="1:18" s="153" customFormat="1">
      <c r="A97" s="57"/>
      <c r="C97" s="58"/>
      <c r="D97" s="59"/>
      <c r="E97" s="60"/>
      <c r="F97" s="60"/>
      <c r="G97" s="60"/>
      <c r="H97" s="60"/>
      <c r="M97" s="90"/>
      <c r="N97" s="91"/>
      <c r="O97" s="92"/>
      <c r="P97" s="92"/>
      <c r="Q97" s="92"/>
      <c r="R97" s="92"/>
    </row>
    <row r="98" spans="1:18" s="153" customFormat="1">
      <c r="A98" s="57"/>
      <c r="C98" s="58"/>
      <c r="D98" s="59"/>
      <c r="E98" s="60"/>
      <c r="F98" s="60"/>
      <c r="G98" s="60"/>
      <c r="H98" s="60"/>
      <c r="M98" s="90"/>
      <c r="N98" s="91"/>
      <c r="O98" s="92"/>
      <c r="P98" s="92"/>
      <c r="Q98" s="92"/>
      <c r="R98" s="92"/>
    </row>
    <row r="99" spans="1:18" s="153" customFormat="1" ht="28.5" customHeight="1">
      <c r="A99" s="156" t="s">
        <v>252</v>
      </c>
      <c r="B99" s="61"/>
      <c r="C99" s="222"/>
      <c r="D99" s="223"/>
      <c r="E99" s="62"/>
      <c r="F99" s="62"/>
      <c r="G99" s="226" t="s">
        <v>205</v>
      </c>
      <c r="H99" s="226"/>
      <c r="I99" s="47"/>
      <c r="M99" s="90"/>
      <c r="N99" s="91"/>
      <c r="O99" s="92"/>
      <c r="P99" s="92"/>
      <c r="Q99" s="92"/>
      <c r="R99" s="92"/>
    </row>
    <row r="100" spans="1:18" s="153" customFormat="1">
      <c r="A100" s="153" t="s">
        <v>10</v>
      </c>
      <c r="B100" s="55"/>
      <c r="C100" s="220" t="s">
        <v>11</v>
      </c>
      <c r="D100" s="220"/>
      <c r="E100" s="154"/>
      <c r="F100" s="154"/>
      <c r="G100" s="221" t="s">
        <v>16</v>
      </c>
      <c r="H100" s="221"/>
    </row>
    <row r="101" spans="1:18" s="153" customFormat="1">
      <c r="A101" s="63"/>
      <c r="E101" s="55"/>
      <c r="F101" s="55"/>
      <c r="G101" s="55"/>
      <c r="H101" s="55"/>
    </row>
    <row r="102" spans="1:18" s="153" customFormat="1">
      <c r="A102" s="63"/>
      <c r="E102" s="55"/>
      <c r="F102" s="55"/>
      <c r="G102" s="55"/>
      <c r="H102" s="55"/>
    </row>
    <row r="103" spans="1:18" s="153" customFormat="1">
      <c r="A103" s="63"/>
      <c r="E103" s="55"/>
      <c r="F103" s="55"/>
      <c r="G103" s="55"/>
      <c r="H103" s="55"/>
    </row>
    <row r="104" spans="1:18" s="153" customFormat="1">
      <c r="A104" s="63"/>
      <c r="E104" s="55"/>
      <c r="F104" s="55"/>
      <c r="G104" s="55"/>
      <c r="H104" s="55"/>
    </row>
    <row r="105" spans="1:18" s="153" customFormat="1">
      <c r="A105" s="63"/>
      <c r="E105" s="55"/>
      <c r="F105" s="55"/>
      <c r="G105" s="55"/>
      <c r="H105" s="55"/>
    </row>
    <row r="106" spans="1:18" s="153" customFormat="1">
      <c r="A106" s="63"/>
      <c r="E106" s="55"/>
      <c r="F106" s="55"/>
      <c r="G106" s="55"/>
      <c r="H106" s="55"/>
    </row>
    <row r="107" spans="1:18" s="153" customFormat="1">
      <c r="A107" s="63"/>
      <c r="E107" s="55"/>
      <c r="F107" s="55"/>
      <c r="G107" s="55"/>
      <c r="H107" s="55"/>
    </row>
    <row r="108" spans="1:18" s="153" customFormat="1">
      <c r="A108" s="63"/>
      <c r="E108" s="55"/>
      <c r="F108" s="55"/>
      <c r="G108" s="55"/>
      <c r="H108" s="55"/>
    </row>
    <row r="109" spans="1:18" s="153" customFormat="1">
      <c r="A109" s="63"/>
      <c r="E109" s="55"/>
      <c r="F109" s="55"/>
      <c r="G109" s="55"/>
      <c r="H109" s="55"/>
    </row>
    <row r="110" spans="1:18" s="153" customFormat="1">
      <c r="A110" s="63"/>
      <c r="E110" s="55"/>
      <c r="F110" s="55"/>
      <c r="G110" s="55"/>
      <c r="H110" s="55"/>
    </row>
    <row r="111" spans="1:18" s="153" customFormat="1">
      <c r="A111" s="63"/>
      <c r="E111" s="55"/>
      <c r="F111" s="55"/>
      <c r="G111" s="55"/>
      <c r="H111" s="55"/>
    </row>
    <row r="112" spans="1:18" s="153" customFormat="1">
      <c r="A112" s="63"/>
      <c r="E112" s="55"/>
      <c r="F112" s="55"/>
      <c r="G112" s="55"/>
      <c r="H112" s="55"/>
    </row>
    <row r="113" spans="1:8" s="153" customFormat="1">
      <c r="A113" s="63"/>
      <c r="E113" s="55"/>
      <c r="F113" s="55"/>
      <c r="G113" s="55"/>
      <c r="H113" s="55"/>
    </row>
    <row r="114" spans="1:8" s="153" customFormat="1">
      <c r="A114" s="63"/>
      <c r="E114" s="55"/>
      <c r="F114" s="55"/>
      <c r="G114" s="55"/>
      <c r="H114" s="55"/>
    </row>
    <row r="115" spans="1:8" s="153" customFormat="1">
      <c r="A115" s="63"/>
      <c r="E115" s="55"/>
      <c r="F115" s="55"/>
      <c r="G115" s="55"/>
      <c r="H115" s="55"/>
    </row>
    <row r="116" spans="1:8" s="153" customFormat="1">
      <c r="A116" s="63"/>
      <c r="E116" s="55"/>
      <c r="F116" s="55"/>
      <c r="G116" s="55"/>
      <c r="H116" s="55"/>
    </row>
    <row r="117" spans="1:8" s="153" customFormat="1">
      <c r="A117" s="63"/>
      <c r="E117" s="55"/>
      <c r="F117" s="55"/>
      <c r="G117" s="55"/>
      <c r="H117" s="55"/>
    </row>
    <row r="118" spans="1:8" s="153" customFormat="1">
      <c r="A118" s="63"/>
      <c r="E118" s="55"/>
      <c r="F118" s="55"/>
      <c r="G118" s="55"/>
      <c r="H118" s="55"/>
    </row>
    <row r="119" spans="1:8" s="153" customFormat="1">
      <c r="A119" s="63"/>
      <c r="E119" s="55"/>
      <c r="F119" s="55"/>
      <c r="G119" s="55"/>
      <c r="H119" s="55"/>
    </row>
    <row r="120" spans="1:8" s="153" customFormat="1">
      <c r="A120" s="63"/>
      <c r="E120" s="55"/>
      <c r="F120" s="55"/>
      <c r="G120" s="55"/>
      <c r="H120" s="55"/>
    </row>
    <row r="121" spans="1:8" s="153" customFormat="1">
      <c r="A121" s="63"/>
      <c r="E121" s="55"/>
      <c r="F121" s="55"/>
      <c r="G121" s="55"/>
      <c r="H121" s="55"/>
    </row>
    <row r="122" spans="1:8" s="153" customFormat="1">
      <c r="A122" s="63"/>
      <c r="E122" s="55"/>
      <c r="F122" s="55"/>
      <c r="G122" s="55"/>
      <c r="H122" s="55"/>
    </row>
    <row r="123" spans="1:8" s="153" customFormat="1">
      <c r="A123" s="63"/>
      <c r="E123" s="55"/>
      <c r="F123" s="55"/>
      <c r="G123" s="55"/>
      <c r="H123" s="55"/>
    </row>
    <row r="124" spans="1:8" s="153" customFormat="1">
      <c r="A124" s="63"/>
      <c r="E124" s="55"/>
      <c r="F124" s="55"/>
      <c r="G124" s="55"/>
      <c r="H124" s="55"/>
    </row>
    <row r="125" spans="1:8" s="153" customFormat="1">
      <c r="A125" s="63"/>
      <c r="E125" s="55"/>
      <c r="F125" s="55"/>
      <c r="G125" s="55"/>
      <c r="H125" s="55"/>
    </row>
    <row r="126" spans="1:8" s="153" customFormat="1">
      <c r="A126" s="63"/>
      <c r="E126" s="55"/>
      <c r="F126" s="55"/>
      <c r="G126" s="55"/>
      <c r="H126" s="55"/>
    </row>
    <row r="127" spans="1:8" s="153" customFormat="1">
      <c r="A127" s="63"/>
      <c r="E127" s="55"/>
      <c r="F127" s="55"/>
      <c r="G127" s="55"/>
      <c r="H127" s="55"/>
    </row>
    <row r="128" spans="1:8" s="153" customFormat="1">
      <c r="A128" s="63"/>
      <c r="E128" s="55"/>
      <c r="F128" s="55"/>
      <c r="G128" s="55"/>
      <c r="H128" s="55"/>
    </row>
    <row r="129" spans="1:8" s="153" customFormat="1">
      <c r="A129" s="63"/>
      <c r="E129" s="55"/>
      <c r="F129" s="55"/>
      <c r="G129" s="55"/>
      <c r="H129" s="55"/>
    </row>
    <row r="130" spans="1:8" s="153" customFormat="1">
      <c r="A130" s="63"/>
      <c r="E130" s="55"/>
      <c r="F130" s="55"/>
      <c r="G130" s="55"/>
      <c r="H130" s="55"/>
    </row>
    <row r="131" spans="1:8" s="153" customFormat="1">
      <c r="A131" s="63"/>
      <c r="E131" s="55"/>
      <c r="F131" s="55"/>
      <c r="G131" s="55"/>
      <c r="H131" s="55"/>
    </row>
    <row r="132" spans="1:8" s="153" customFormat="1">
      <c r="A132" s="63"/>
      <c r="E132" s="55"/>
      <c r="F132" s="55"/>
      <c r="G132" s="55"/>
      <c r="H132" s="55"/>
    </row>
    <row r="133" spans="1:8" s="153" customFormat="1">
      <c r="A133" s="63"/>
      <c r="E133" s="55"/>
      <c r="F133" s="55"/>
      <c r="G133" s="55"/>
      <c r="H133" s="55"/>
    </row>
    <row r="134" spans="1:8" s="153" customFormat="1">
      <c r="A134" s="63"/>
      <c r="E134" s="55"/>
      <c r="F134" s="55"/>
      <c r="G134" s="55"/>
      <c r="H134" s="55"/>
    </row>
    <row r="135" spans="1:8" s="153" customFormat="1">
      <c r="A135" s="63"/>
      <c r="E135" s="55"/>
      <c r="F135" s="55"/>
      <c r="G135" s="55"/>
      <c r="H135" s="55"/>
    </row>
    <row r="136" spans="1:8" s="153" customFormat="1">
      <c r="A136" s="63"/>
      <c r="E136" s="55"/>
      <c r="F136" s="55"/>
      <c r="G136" s="55"/>
      <c r="H136" s="55"/>
    </row>
    <row r="137" spans="1:8" s="153" customFormat="1">
      <c r="A137" s="63"/>
      <c r="E137" s="55"/>
      <c r="F137" s="55"/>
      <c r="G137" s="55"/>
      <c r="H137" s="55"/>
    </row>
    <row r="138" spans="1:8" s="153" customFormat="1">
      <c r="A138" s="63"/>
      <c r="E138" s="55"/>
      <c r="F138" s="55"/>
      <c r="G138" s="55"/>
      <c r="H138" s="55"/>
    </row>
    <row r="139" spans="1:8" s="153" customFormat="1">
      <c r="A139" s="63"/>
      <c r="E139" s="55"/>
      <c r="F139" s="55"/>
      <c r="G139" s="55"/>
      <c r="H139" s="55"/>
    </row>
    <row r="140" spans="1:8" s="153" customFormat="1">
      <c r="A140" s="63"/>
      <c r="E140" s="55"/>
      <c r="F140" s="55"/>
      <c r="G140" s="55"/>
      <c r="H140" s="55"/>
    </row>
    <row r="141" spans="1:8" s="153" customFormat="1">
      <c r="A141" s="63"/>
      <c r="E141" s="55"/>
      <c r="F141" s="55"/>
      <c r="G141" s="55"/>
      <c r="H141" s="55"/>
    </row>
    <row r="142" spans="1:8" s="153" customFormat="1">
      <c r="A142" s="63"/>
      <c r="E142" s="55"/>
      <c r="F142" s="55"/>
      <c r="G142" s="55"/>
      <c r="H142" s="55"/>
    </row>
    <row r="143" spans="1:8" s="153" customFormat="1">
      <c r="A143" s="63"/>
      <c r="E143" s="55"/>
      <c r="F143" s="55"/>
      <c r="G143" s="55"/>
      <c r="H143" s="55"/>
    </row>
    <row r="144" spans="1:8" s="153" customFormat="1">
      <c r="A144" s="63"/>
      <c r="E144" s="55"/>
      <c r="F144" s="55"/>
      <c r="G144" s="55"/>
      <c r="H144" s="55"/>
    </row>
    <row r="145" spans="1:8" s="153" customFormat="1">
      <c r="A145" s="63"/>
      <c r="E145" s="55"/>
      <c r="F145" s="55"/>
      <c r="G145" s="55"/>
      <c r="H145" s="55"/>
    </row>
    <row r="146" spans="1:8" s="153" customFormat="1">
      <c r="A146" s="63"/>
      <c r="E146" s="55"/>
      <c r="F146" s="55"/>
      <c r="G146" s="55"/>
      <c r="H146" s="55"/>
    </row>
    <row r="147" spans="1:8" s="153" customFormat="1">
      <c r="A147" s="63"/>
      <c r="E147" s="55"/>
      <c r="F147" s="55"/>
      <c r="G147" s="55"/>
      <c r="H147" s="55"/>
    </row>
    <row r="148" spans="1:8" s="153" customFormat="1">
      <c r="A148" s="63"/>
      <c r="E148" s="55"/>
      <c r="F148" s="55"/>
      <c r="G148" s="55"/>
      <c r="H148" s="55"/>
    </row>
    <row r="149" spans="1:8" s="153" customFormat="1">
      <c r="A149" s="63"/>
      <c r="E149" s="55"/>
      <c r="F149" s="55"/>
      <c r="G149" s="55"/>
      <c r="H149" s="55"/>
    </row>
    <row r="150" spans="1:8" s="153" customFormat="1">
      <c r="A150" s="63"/>
      <c r="E150" s="55"/>
      <c r="F150" s="55"/>
      <c r="G150" s="55"/>
      <c r="H150" s="55"/>
    </row>
    <row r="151" spans="1:8" s="153" customFormat="1">
      <c r="A151" s="63"/>
      <c r="E151" s="55"/>
      <c r="F151" s="55"/>
      <c r="G151" s="55"/>
      <c r="H151" s="55"/>
    </row>
    <row r="152" spans="1:8" s="153" customFormat="1">
      <c r="A152" s="63"/>
      <c r="E152" s="55"/>
      <c r="F152" s="55"/>
      <c r="G152" s="55"/>
      <c r="H152" s="55"/>
    </row>
    <row r="153" spans="1:8" s="153" customFormat="1">
      <c r="A153" s="63"/>
      <c r="E153" s="55"/>
      <c r="F153" s="55"/>
      <c r="G153" s="55"/>
      <c r="H153" s="55"/>
    </row>
    <row r="154" spans="1:8" s="153" customFormat="1">
      <c r="A154" s="63"/>
      <c r="E154" s="55"/>
      <c r="F154" s="55"/>
      <c r="G154" s="55"/>
      <c r="H154" s="55"/>
    </row>
    <row r="155" spans="1:8" s="153" customFormat="1">
      <c r="A155" s="63"/>
      <c r="E155" s="55"/>
      <c r="F155" s="55"/>
      <c r="G155" s="55"/>
      <c r="H155" s="55"/>
    </row>
    <row r="156" spans="1:8" s="153" customFormat="1">
      <c r="A156" s="63"/>
      <c r="E156" s="55"/>
      <c r="F156" s="55"/>
      <c r="G156" s="55"/>
      <c r="H156" s="55"/>
    </row>
    <row r="157" spans="1:8" s="153" customFormat="1">
      <c r="A157" s="63"/>
      <c r="E157" s="55"/>
      <c r="F157" s="55"/>
      <c r="G157" s="55"/>
      <c r="H157" s="55"/>
    </row>
    <row r="158" spans="1:8" s="153" customFormat="1">
      <c r="A158" s="63"/>
      <c r="E158" s="55"/>
      <c r="F158" s="55"/>
      <c r="G158" s="55"/>
      <c r="H158" s="55"/>
    </row>
    <row r="159" spans="1:8" s="153" customFormat="1">
      <c r="A159" s="63"/>
      <c r="E159" s="55"/>
      <c r="F159" s="55"/>
      <c r="G159" s="55"/>
      <c r="H159" s="55"/>
    </row>
    <row r="160" spans="1:8" s="153" customFormat="1">
      <c r="A160" s="63"/>
      <c r="E160" s="55"/>
      <c r="F160" s="55"/>
      <c r="G160" s="55"/>
      <c r="H160" s="55"/>
    </row>
    <row r="161" spans="1:8" s="153" customFormat="1">
      <c r="A161" s="63"/>
      <c r="E161" s="55"/>
      <c r="F161" s="55"/>
      <c r="G161" s="55"/>
      <c r="H161" s="55"/>
    </row>
    <row r="162" spans="1:8" s="153" customFormat="1">
      <c r="A162" s="63"/>
      <c r="E162" s="55"/>
      <c r="F162" s="55"/>
      <c r="G162" s="55"/>
      <c r="H162" s="55"/>
    </row>
    <row r="163" spans="1:8" s="153" customFormat="1">
      <c r="A163" s="63"/>
      <c r="E163" s="55"/>
      <c r="F163" s="55"/>
      <c r="G163" s="55"/>
      <c r="H163" s="55"/>
    </row>
    <row r="164" spans="1:8" s="153" customFormat="1">
      <c r="A164" s="63"/>
      <c r="E164" s="55"/>
      <c r="F164" s="55"/>
      <c r="G164" s="55"/>
      <c r="H164" s="55"/>
    </row>
    <row r="165" spans="1:8" s="153" customFormat="1">
      <c r="A165" s="63"/>
      <c r="E165" s="55"/>
      <c r="F165" s="55"/>
      <c r="G165" s="55"/>
      <c r="H165" s="55"/>
    </row>
    <row r="166" spans="1:8" s="153" customFormat="1">
      <c r="A166" s="63"/>
      <c r="E166" s="55"/>
      <c r="F166" s="55"/>
      <c r="G166" s="55"/>
      <c r="H166" s="55"/>
    </row>
    <row r="167" spans="1:8" s="153" customFormat="1">
      <c r="A167" s="63"/>
      <c r="E167" s="55"/>
      <c r="F167" s="55"/>
      <c r="G167" s="55"/>
      <c r="H167" s="55"/>
    </row>
    <row r="168" spans="1:8" s="153" customFormat="1">
      <c r="A168" s="63"/>
      <c r="E168" s="55"/>
      <c r="F168" s="55"/>
      <c r="G168" s="55"/>
      <c r="H168" s="55"/>
    </row>
    <row r="169" spans="1:8" s="153" customFormat="1">
      <c r="A169" s="63"/>
      <c r="E169" s="55"/>
      <c r="F169" s="55"/>
      <c r="G169" s="55"/>
      <c r="H169" s="55"/>
    </row>
    <row r="170" spans="1:8" s="153" customFormat="1">
      <c r="A170" s="63"/>
      <c r="E170" s="55"/>
      <c r="F170" s="55"/>
      <c r="G170" s="55"/>
      <c r="H170" s="55"/>
    </row>
    <row r="171" spans="1:8" s="153" customFormat="1">
      <c r="A171" s="63"/>
      <c r="E171" s="55"/>
      <c r="F171" s="55"/>
      <c r="G171" s="55"/>
      <c r="H171" s="55"/>
    </row>
    <row r="172" spans="1:8" s="153" customFormat="1">
      <c r="A172" s="63"/>
      <c r="E172" s="55"/>
      <c r="F172" s="55"/>
      <c r="G172" s="55"/>
      <c r="H172" s="55"/>
    </row>
    <row r="173" spans="1:8" s="153" customFormat="1">
      <c r="A173" s="63"/>
      <c r="E173" s="55"/>
      <c r="F173" s="55"/>
      <c r="G173" s="55"/>
      <c r="H173" s="55"/>
    </row>
    <row r="174" spans="1:8" s="153" customFormat="1">
      <c r="A174" s="63"/>
      <c r="E174" s="55"/>
      <c r="F174" s="55"/>
      <c r="G174" s="55"/>
      <c r="H174" s="55"/>
    </row>
    <row r="175" spans="1:8" s="153" customFormat="1">
      <c r="A175" s="63"/>
      <c r="E175" s="55"/>
      <c r="F175" s="55"/>
      <c r="G175" s="55"/>
      <c r="H175" s="55"/>
    </row>
    <row r="176" spans="1:8" s="153" customFormat="1">
      <c r="A176" s="63"/>
      <c r="E176" s="55"/>
      <c r="F176" s="55"/>
      <c r="G176" s="55"/>
      <c r="H176" s="55"/>
    </row>
    <row r="177" spans="1:8" s="153" customFormat="1">
      <c r="A177" s="63"/>
      <c r="E177" s="55"/>
      <c r="F177" s="55"/>
      <c r="G177" s="55"/>
      <c r="H177" s="55"/>
    </row>
    <row r="178" spans="1:8" s="153" customFormat="1">
      <c r="A178" s="63"/>
      <c r="E178" s="55"/>
      <c r="F178" s="55"/>
      <c r="G178" s="55"/>
      <c r="H178" s="55"/>
    </row>
    <row r="179" spans="1:8" s="153" customFormat="1">
      <c r="A179" s="63"/>
      <c r="E179" s="55"/>
      <c r="F179" s="55"/>
      <c r="G179" s="55"/>
      <c r="H179" s="55"/>
    </row>
    <row r="180" spans="1:8" s="153" customFormat="1">
      <c r="A180" s="63"/>
      <c r="E180" s="55"/>
      <c r="F180" s="55"/>
      <c r="G180" s="55"/>
      <c r="H180" s="55"/>
    </row>
    <row r="181" spans="1:8" s="153" customFormat="1">
      <c r="A181" s="63"/>
      <c r="E181" s="55"/>
      <c r="F181" s="55"/>
      <c r="G181" s="55"/>
      <c r="H181" s="55"/>
    </row>
    <row r="182" spans="1:8" s="153" customFormat="1">
      <c r="A182" s="63"/>
      <c r="E182" s="55"/>
      <c r="F182" s="55"/>
      <c r="G182" s="55"/>
      <c r="H182" s="55"/>
    </row>
    <row r="183" spans="1:8" s="153" customFormat="1">
      <c r="A183" s="63"/>
      <c r="E183" s="55"/>
      <c r="F183" s="55"/>
      <c r="G183" s="55"/>
      <c r="H183" s="55"/>
    </row>
    <row r="184" spans="1:8" s="153" customFormat="1">
      <c r="A184" s="63"/>
      <c r="E184" s="55"/>
      <c r="F184" s="55"/>
      <c r="G184" s="55"/>
      <c r="H184" s="55"/>
    </row>
    <row r="185" spans="1:8" s="153" customFormat="1">
      <c r="A185" s="63"/>
      <c r="E185" s="55"/>
      <c r="F185" s="55"/>
      <c r="G185" s="55"/>
      <c r="H185" s="55"/>
    </row>
    <row r="186" spans="1:8" s="153" customFormat="1">
      <c r="A186" s="63"/>
      <c r="E186" s="55"/>
      <c r="F186" s="55"/>
      <c r="G186" s="55"/>
      <c r="H186" s="55"/>
    </row>
    <row r="187" spans="1:8" s="153" customFormat="1">
      <c r="A187" s="63"/>
      <c r="E187" s="55"/>
      <c r="F187" s="55"/>
      <c r="G187" s="55"/>
      <c r="H187" s="55"/>
    </row>
    <row r="188" spans="1:8" s="153" customFormat="1">
      <c r="A188" s="63"/>
      <c r="E188" s="55"/>
      <c r="F188" s="55"/>
      <c r="G188" s="55"/>
      <c r="H188" s="55"/>
    </row>
    <row r="189" spans="1:8" s="153" customFormat="1">
      <c r="A189" s="63"/>
      <c r="E189" s="55"/>
      <c r="F189" s="55"/>
      <c r="G189" s="55"/>
      <c r="H189" s="55"/>
    </row>
    <row r="190" spans="1:8" s="153" customFormat="1">
      <c r="A190" s="63"/>
      <c r="E190" s="55"/>
      <c r="F190" s="55"/>
      <c r="G190" s="55"/>
      <c r="H190" s="55"/>
    </row>
    <row r="191" spans="1:8" s="153" customFormat="1">
      <c r="A191" s="63"/>
      <c r="E191" s="55"/>
      <c r="F191" s="55"/>
      <c r="G191" s="55"/>
      <c r="H191" s="55"/>
    </row>
    <row r="192" spans="1:8" s="153" customFormat="1">
      <c r="A192" s="63"/>
      <c r="E192" s="55"/>
      <c r="F192" s="55"/>
      <c r="G192" s="55"/>
      <c r="H192" s="55"/>
    </row>
    <row r="193" spans="1:8" s="153" customFormat="1">
      <c r="A193" s="63"/>
      <c r="E193" s="55"/>
      <c r="F193" s="55"/>
      <c r="G193" s="55"/>
      <c r="H193" s="55"/>
    </row>
    <row r="194" spans="1:8" s="153" customFormat="1">
      <c r="A194" s="63"/>
      <c r="E194" s="55"/>
      <c r="F194" s="55"/>
      <c r="G194" s="55"/>
      <c r="H194" s="55"/>
    </row>
    <row r="195" spans="1:8" s="153" customFormat="1">
      <c r="A195" s="63"/>
      <c r="E195" s="55"/>
      <c r="F195" s="55"/>
      <c r="G195" s="55"/>
      <c r="H195" s="55"/>
    </row>
    <row r="196" spans="1:8" s="153" customFormat="1">
      <c r="A196" s="63"/>
      <c r="E196" s="55"/>
      <c r="F196" s="55"/>
      <c r="G196" s="55"/>
      <c r="H196" s="55"/>
    </row>
    <row r="197" spans="1:8" s="153" customFormat="1">
      <c r="A197" s="63"/>
      <c r="E197" s="55"/>
      <c r="F197" s="55"/>
      <c r="G197" s="55"/>
      <c r="H197" s="55"/>
    </row>
    <row r="198" spans="1:8" s="153" customFormat="1">
      <c r="A198" s="63"/>
      <c r="E198" s="55"/>
      <c r="F198" s="55"/>
      <c r="G198" s="55"/>
      <c r="H198" s="55"/>
    </row>
    <row r="199" spans="1:8" s="153" customFormat="1">
      <c r="A199" s="63"/>
      <c r="E199" s="55"/>
      <c r="F199" s="55"/>
      <c r="G199" s="55"/>
      <c r="H199" s="55"/>
    </row>
    <row r="200" spans="1:8" s="153" customFormat="1">
      <c r="A200" s="63"/>
      <c r="E200" s="55"/>
      <c r="F200" s="55"/>
      <c r="G200" s="55"/>
      <c r="H200" s="55"/>
    </row>
    <row r="201" spans="1:8" s="153" customFormat="1">
      <c r="A201" s="63"/>
      <c r="E201" s="55"/>
      <c r="F201" s="55"/>
      <c r="G201" s="55"/>
      <c r="H201" s="55"/>
    </row>
    <row r="202" spans="1:8" s="153" customFormat="1">
      <c r="A202" s="63"/>
      <c r="E202" s="55"/>
      <c r="F202" s="55"/>
      <c r="G202" s="55"/>
      <c r="H202" s="55"/>
    </row>
    <row r="203" spans="1:8" s="153" customFormat="1">
      <c r="A203" s="63"/>
      <c r="E203" s="55"/>
      <c r="F203" s="55"/>
      <c r="G203" s="55"/>
      <c r="H203" s="55"/>
    </row>
    <row r="204" spans="1:8" s="153" customFormat="1">
      <c r="A204" s="63"/>
      <c r="E204" s="55"/>
      <c r="F204" s="55"/>
      <c r="G204" s="55"/>
      <c r="H204" s="55"/>
    </row>
    <row r="205" spans="1:8" s="153" customFormat="1">
      <c r="A205" s="63"/>
      <c r="E205" s="55"/>
      <c r="F205" s="55"/>
      <c r="G205" s="55"/>
      <c r="H205" s="55"/>
    </row>
    <row r="206" spans="1:8" s="153" customFormat="1">
      <c r="A206" s="63"/>
      <c r="E206" s="55"/>
      <c r="F206" s="55"/>
      <c r="G206" s="55"/>
      <c r="H206" s="55"/>
    </row>
    <row r="207" spans="1:8" s="153" customFormat="1">
      <c r="A207" s="63"/>
      <c r="E207" s="55"/>
      <c r="F207" s="55"/>
      <c r="G207" s="55"/>
      <c r="H207" s="55"/>
    </row>
    <row r="208" spans="1:8" s="153" customFormat="1">
      <c r="A208" s="63"/>
      <c r="E208" s="55"/>
      <c r="F208" s="55"/>
      <c r="G208" s="55"/>
      <c r="H208" s="55"/>
    </row>
    <row r="209" spans="1:8" s="153" customFormat="1">
      <c r="A209" s="63"/>
      <c r="E209" s="55"/>
      <c r="F209" s="55"/>
      <c r="G209" s="55"/>
      <c r="H209" s="55"/>
    </row>
    <row r="210" spans="1:8" s="153" customFormat="1">
      <c r="A210" s="63"/>
      <c r="E210" s="55"/>
      <c r="F210" s="55"/>
      <c r="G210" s="55"/>
      <c r="H210" s="55"/>
    </row>
    <row r="211" spans="1:8" s="153" customFormat="1">
      <c r="A211" s="63"/>
      <c r="E211" s="55"/>
      <c r="F211" s="55"/>
      <c r="G211" s="55"/>
      <c r="H211" s="55"/>
    </row>
    <row r="212" spans="1:8" s="153" customFormat="1">
      <c r="A212" s="63"/>
      <c r="E212" s="55"/>
      <c r="F212" s="55"/>
      <c r="G212" s="55"/>
      <c r="H212" s="55"/>
    </row>
    <row r="213" spans="1:8" s="153" customFormat="1">
      <c r="A213" s="63"/>
      <c r="E213" s="55"/>
      <c r="F213" s="55"/>
      <c r="G213" s="55"/>
      <c r="H213" s="55"/>
    </row>
    <row r="214" spans="1:8" s="153" customFormat="1">
      <c r="A214" s="63"/>
      <c r="E214" s="55"/>
      <c r="F214" s="55"/>
      <c r="G214" s="55"/>
      <c r="H214" s="55"/>
    </row>
    <row r="215" spans="1:8" s="153" customFormat="1">
      <c r="A215" s="63"/>
      <c r="E215" s="55"/>
      <c r="F215" s="55"/>
      <c r="G215" s="55"/>
      <c r="H215" s="55"/>
    </row>
    <row r="216" spans="1:8" s="153" customFormat="1">
      <c r="A216" s="63"/>
      <c r="E216" s="55"/>
      <c r="F216" s="55"/>
      <c r="G216" s="55"/>
      <c r="H216" s="55"/>
    </row>
    <row r="217" spans="1:8" s="153" customFormat="1">
      <c r="A217" s="63"/>
      <c r="E217" s="55"/>
      <c r="F217" s="55"/>
      <c r="G217" s="55"/>
      <c r="H217" s="55"/>
    </row>
    <row r="218" spans="1:8" s="153" customFormat="1">
      <c r="A218" s="63"/>
      <c r="E218" s="55"/>
      <c r="F218" s="55"/>
      <c r="G218" s="55"/>
      <c r="H218" s="55"/>
    </row>
    <row r="219" spans="1:8" s="153" customFormat="1">
      <c r="A219" s="63"/>
      <c r="E219" s="55"/>
      <c r="F219" s="55"/>
      <c r="G219" s="55"/>
      <c r="H219" s="55"/>
    </row>
    <row r="220" spans="1:8" s="153" customFormat="1">
      <c r="A220" s="63"/>
      <c r="E220" s="55"/>
      <c r="F220" s="55"/>
      <c r="G220" s="55"/>
      <c r="H220" s="55"/>
    </row>
    <row r="221" spans="1:8" s="153" customFormat="1">
      <c r="A221" s="63"/>
      <c r="E221" s="55"/>
      <c r="F221" s="55"/>
      <c r="G221" s="55"/>
      <c r="H221" s="55"/>
    </row>
    <row r="222" spans="1:8" s="153" customFormat="1">
      <c r="A222" s="63"/>
      <c r="E222" s="55"/>
      <c r="F222" s="55"/>
      <c r="G222" s="55"/>
      <c r="H222" s="55"/>
    </row>
    <row r="223" spans="1:8" s="153" customFormat="1">
      <c r="A223" s="63"/>
      <c r="E223" s="55"/>
      <c r="F223" s="55"/>
      <c r="G223" s="55"/>
      <c r="H223" s="55"/>
    </row>
    <row r="224" spans="1:8" s="153" customFormat="1">
      <c r="A224" s="63"/>
      <c r="E224" s="55"/>
      <c r="F224" s="55"/>
      <c r="G224" s="55"/>
      <c r="H224" s="55"/>
    </row>
    <row r="225" spans="1:8" s="153" customFormat="1">
      <c r="A225" s="63"/>
      <c r="E225" s="55"/>
      <c r="F225" s="55"/>
      <c r="G225" s="55"/>
      <c r="H225" s="55"/>
    </row>
    <row r="226" spans="1:8" s="153" customFormat="1">
      <c r="A226" s="63"/>
      <c r="E226" s="55"/>
      <c r="F226" s="55"/>
      <c r="G226" s="55"/>
      <c r="H226" s="55"/>
    </row>
    <row r="227" spans="1:8" s="153" customFormat="1">
      <c r="A227" s="63"/>
      <c r="E227" s="55"/>
      <c r="F227" s="55"/>
      <c r="G227" s="55"/>
      <c r="H227" s="55"/>
    </row>
    <row r="228" spans="1:8" s="153" customFormat="1">
      <c r="A228" s="63"/>
      <c r="E228" s="55"/>
      <c r="F228" s="55"/>
      <c r="G228" s="55"/>
      <c r="H228" s="55"/>
    </row>
    <row r="229" spans="1:8" s="153" customFormat="1">
      <c r="A229" s="63"/>
      <c r="E229" s="55"/>
      <c r="F229" s="55"/>
      <c r="G229" s="55"/>
      <c r="H229" s="55"/>
    </row>
    <row r="230" spans="1:8" s="153" customFormat="1">
      <c r="A230" s="63"/>
      <c r="E230" s="55"/>
      <c r="F230" s="55"/>
      <c r="G230" s="55"/>
      <c r="H230" s="55"/>
    </row>
    <row r="231" spans="1:8" s="153" customFormat="1">
      <c r="A231" s="63"/>
      <c r="E231" s="55"/>
      <c r="F231" s="55"/>
      <c r="G231" s="55"/>
      <c r="H231" s="55"/>
    </row>
    <row r="232" spans="1:8" s="153" customFormat="1">
      <c r="A232" s="63"/>
      <c r="E232" s="55"/>
      <c r="F232" s="55"/>
      <c r="G232" s="55"/>
      <c r="H232" s="55"/>
    </row>
    <row r="233" spans="1:8" s="153" customFormat="1">
      <c r="A233" s="63"/>
      <c r="E233" s="55"/>
      <c r="F233" s="55"/>
      <c r="G233" s="55"/>
      <c r="H233" s="55"/>
    </row>
    <row r="234" spans="1:8" s="153" customFormat="1">
      <c r="A234" s="63"/>
      <c r="E234" s="55"/>
      <c r="F234" s="55"/>
      <c r="G234" s="55"/>
      <c r="H234" s="55"/>
    </row>
    <row r="235" spans="1:8" s="153" customFormat="1">
      <c r="A235" s="63"/>
      <c r="E235" s="55"/>
      <c r="F235" s="55"/>
      <c r="G235" s="55"/>
      <c r="H235" s="55"/>
    </row>
    <row r="236" spans="1:8" s="153" customFormat="1">
      <c r="A236" s="63"/>
      <c r="E236" s="55"/>
      <c r="F236" s="55"/>
      <c r="G236" s="55"/>
      <c r="H236" s="55"/>
    </row>
    <row r="237" spans="1:8" s="153" customFormat="1">
      <c r="A237" s="63"/>
      <c r="E237" s="55"/>
      <c r="F237" s="55"/>
      <c r="G237" s="55"/>
      <c r="H237" s="55"/>
    </row>
    <row r="238" spans="1:8" s="153" customFormat="1">
      <c r="A238" s="63"/>
      <c r="E238" s="55"/>
      <c r="F238" s="55"/>
      <c r="G238" s="55"/>
      <c r="H238" s="55"/>
    </row>
    <row r="239" spans="1:8" s="153" customFormat="1">
      <c r="A239" s="63"/>
      <c r="E239" s="55"/>
      <c r="F239" s="55"/>
      <c r="G239" s="55"/>
      <c r="H239" s="55"/>
    </row>
    <row r="240" spans="1:8" s="153" customFormat="1">
      <c r="A240" s="63"/>
      <c r="E240" s="55"/>
      <c r="F240" s="55"/>
      <c r="G240" s="55"/>
      <c r="H240" s="55"/>
    </row>
    <row r="241" spans="1:8" s="153" customFormat="1">
      <c r="A241" s="63"/>
      <c r="E241" s="55"/>
      <c r="F241" s="55"/>
      <c r="G241" s="55"/>
      <c r="H241" s="55"/>
    </row>
    <row r="242" spans="1:8" s="153" customFormat="1">
      <c r="A242" s="63"/>
      <c r="E242" s="55"/>
      <c r="F242" s="55"/>
      <c r="G242" s="55"/>
      <c r="H242" s="55"/>
    </row>
    <row r="243" spans="1:8" s="153" customFormat="1">
      <c r="A243" s="63"/>
      <c r="E243" s="55"/>
      <c r="F243" s="55"/>
      <c r="G243" s="55"/>
      <c r="H243" s="55"/>
    </row>
    <row r="244" spans="1:8" s="153" customFormat="1">
      <c r="A244" s="63"/>
      <c r="E244" s="55"/>
      <c r="F244" s="55"/>
      <c r="G244" s="55"/>
      <c r="H244" s="55"/>
    </row>
    <row r="245" spans="1:8" s="153" customFormat="1">
      <c r="A245" s="63"/>
      <c r="E245" s="55"/>
      <c r="F245" s="55"/>
      <c r="G245" s="55"/>
      <c r="H245" s="55"/>
    </row>
    <row r="246" spans="1:8" s="153" customFormat="1">
      <c r="A246" s="63"/>
      <c r="E246" s="55"/>
      <c r="F246" s="55"/>
      <c r="G246" s="55"/>
      <c r="H246" s="55"/>
    </row>
    <row r="247" spans="1:8" s="153" customFormat="1">
      <c r="A247" s="63"/>
      <c r="E247" s="55"/>
      <c r="F247" s="55"/>
      <c r="G247" s="55"/>
      <c r="H247" s="55"/>
    </row>
    <row r="248" spans="1:8" s="153" customFormat="1">
      <c r="A248" s="63"/>
      <c r="E248" s="55"/>
      <c r="F248" s="55"/>
      <c r="G248" s="55"/>
      <c r="H248" s="55"/>
    </row>
    <row r="249" spans="1:8" s="153" customFormat="1">
      <c r="A249" s="63"/>
      <c r="E249" s="55"/>
      <c r="F249" s="55"/>
      <c r="G249" s="55"/>
      <c r="H249" s="55"/>
    </row>
    <row r="250" spans="1:8" s="153" customFormat="1">
      <c r="A250" s="63"/>
      <c r="E250" s="55"/>
      <c r="F250" s="55"/>
      <c r="G250" s="55"/>
      <c r="H250" s="55"/>
    </row>
    <row r="251" spans="1:8" s="153" customFormat="1">
      <c r="A251" s="63"/>
      <c r="E251" s="55"/>
      <c r="F251" s="55"/>
      <c r="G251" s="55"/>
      <c r="H251" s="55"/>
    </row>
  </sheetData>
  <mergeCells count="17">
    <mergeCell ref="C100:D100"/>
    <mergeCell ref="G100:H100"/>
    <mergeCell ref="C99:D99"/>
    <mergeCell ref="A78:H78"/>
    <mergeCell ref="A51:H51"/>
    <mergeCell ref="A69:H69"/>
    <mergeCell ref="C79:D79"/>
    <mergeCell ref="E79:H79"/>
    <mergeCell ref="G99:H99"/>
    <mergeCell ref="A44:H44"/>
    <mergeCell ref="A2:H2"/>
    <mergeCell ref="A1:H1"/>
    <mergeCell ref="A4:A5"/>
    <mergeCell ref="B4:B5"/>
    <mergeCell ref="A7:H7"/>
    <mergeCell ref="E4:H4"/>
    <mergeCell ref="C4:D4"/>
  </mergeCells>
  <phoneticPr fontId="3" type="noConversion"/>
  <printOptions horizontalCentered="1"/>
  <pageMargins left="0.39370078740157483" right="0.39370078740157483" top="0.78740157480314965" bottom="0.39370078740157483" header="0.39370078740157483" footer="0.19685039370078741"/>
  <pageSetup paperSize="9" scale="70" orientation="landscape" verticalDpi="300" r:id="rId1"/>
  <headerFooter alignWithMargins="0"/>
  <rowBreaks count="2" manualBreakCount="2">
    <brk id="71" max="7" man="1"/>
    <brk id="84" max="7" man="1"/>
  </rowBreaks>
  <ignoredErrors>
    <ignoredError sqref="B81:B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N328"/>
  <sheetViews>
    <sheetView view="pageBreakPreview" topLeftCell="A4" zoomScale="70" zoomScaleNormal="100" zoomScaleSheetLayoutView="70" workbookViewId="0">
      <selection activeCell="M16" sqref="M16"/>
    </sheetView>
  </sheetViews>
  <sheetFormatPr defaultRowHeight="18.75"/>
  <cols>
    <col min="1" max="1" width="9.140625" style="17"/>
    <col min="2" max="2" width="58" style="17" customWidth="1"/>
    <col min="3" max="3" width="13.42578125" style="81" customWidth="1"/>
    <col min="4" max="4" width="18.28515625" style="81" customWidth="1"/>
    <col min="5" max="5" width="18.5703125" style="81" customWidth="1"/>
    <col min="6" max="6" width="17.85546875" style="81" customWidth="1"/>
    <col min="7" max="7" width="18.28515625" style="17" customWidth="1"/>
    <col min="8" max="8" width="19.28515625" style="17" customWidth="1"/>
    <col min="9" max="9" width="9.140625" style="17"/>
    <col min="10" max="10" width="18" style="17" customWidth="1"/>
    <col min="11" max="11" width="14" style="17" customWidth="1"/>
    <col min="12" max="12" width="12.42578125" style="17" customWidth="1"/>
    <col min="13" max="14" width="10.5703125" style="17" bestFit="1" customWidth="1"/>
    <col min="15" max="18" width="9.140625" style="17"/>
    <col min="19" max="19" width="11.5703125" style="17" bestFit="1" customWidth="1"/>
    <col min="20" max="20" width="9.140625" style="17"/>
    <col min="21" max="21" width="11.5703125" style="17" bestFit="1" customWidth="1"/>
    <col min="22" max="16384" width="9.140625" style="17"/>
  </cols>
  <sheetData>
    <row r="2" spans="1:10" ht="20.25">
      <c r="B2" s="230" t="s">
        <v>103</v>
      </c>
      <c r="C2" s="230"/>
      <c r="D2" s="230"/>
      <c r="E2" s="230"/>
      <c r="F2" s="230"/>
    </row>
    <row r="3" spans="1:10">
      <c r="B3" s="85"/>
      <c r="C3" s="52"/>
      <c r="D3" s="85"/>
      <c r="E3" s="85"/>
      <c r="F3" s="85"/>
      <c r="H3" s="17" t="s">
        <v>65</v>
      </c>
    </row>
    <row r="4" spans="1:10" ht="92.25" customHeight="1">
      <c r="A4" s="53" t="s">
        <v>76</v>
      </c>
      <c r="B4" s="53" t="s">
        <v>23</v>
      </c>
      <c r="C4" s="45" t="s">
        <v>5</v>
      </c>
      <c r="D4" s="45" t="s">
        <v>354</v>
      </c>
      <c r="E4" s="45" t="s">
        <v>361</v>
      </c>
      <c r="F4" s="45" t="s">
        <v>362</v>
      </c>
      <c r="G4" s="45" t="s">
        <v>112</v>
      </c>
      <c r="H4" s="45" t="s">
        <v>114</v>
      </c>
    </row>
    <row r="5" spans="1:10" ht="30.75" customHeight="1">
      <c r="A5" s="53">
        <v>1</v>
      </c>
      <c r="B5" s="53">
        <v>2</v>
      </c>
      <c r="C5" s="45">
        <v>3</v>
      </c>
      <c r="D5" s="45">
        <v>4</v>
      </c>
      <c r="E5" s="45">
        <v>5</v>
      </c>
      <c r="F5" s="45">
        <v>6</v>
      </c>
      <c r="G5" s="53">
        <v>7</v>
      </c>
      <c r="H5" s="53">
        <v>8</v>
      </c>
    </row>
    <row r="6" spans="1:10" ht="30.75" customHeight="1">
      <c r="A6" s="233" t="s">
        <v>75</v>
      </c>
      <c r="B6" s="233"/>
      <c r="C6" s="45"/>
      <c r="D6" s="162">
        <f>D7+D13+D20+D22</f>
        <v>53156.7</v>
      </c>
      <c r="E6" s="162">
        <f>E7+E13+E20+E22</f>
        <v>72820.7</v>
      </c>
      <c r="F6" s="162">
        <f>F7+F13+F20+F22</f>
        <v>65152.1</v>
      </c>
      <c r="G6" s="53">
        <f>F6-E6</f>
        <v>-7668.5999999999985</v>
      </c>
      <c r="H6" s="207">
        <f>(F6/E6)*100</f>
        <v>89.469203124935632</v>
      </c>
    </row>
    <row r="7" spans="1:10" ht="62.25" customHeight="1">
      <c r="A7" s="227" t="s">
        <v>74</v>
      </c>
      <c r="B7" s="227"/>
      <c r="C7" s="84">
        <v>1000</v>
      </c>
      <c r="D7" s="14">
        <f>SUM(D8:D12)</f>
        <v>43181.1</v>
      </c>
      <c r="E7" s="14">
        <f>SUM(E8:E12)</f>
        <v>62610.5</v>
      </c>
      <c r="F7" s="14">
        <f>SUM(F8:F12)</f>
        <v>49247</v>
      </c>
      <c r="G7" s="129">
        <f>F7-E7</f>
        <v>-13363.5</v>
      </c>
      <c r="H7" s="129">
        <f>(F7/E7)*100</f>
        <v>78.656135951637509</v>
      </c>
    </row>
    <row r="8" spans="1:10" ht="45" customHeight="1">
      <c r="A8" s="178">
        <v>1</v>
      </c>
      <c r="B8" s="128" t="s">
        <v>206</v>
      </c>
      <c r="C8" s="84"/>
      <c r="D8" s="15">
        <v>42612.1</v>
      </c>
      <c r="E8" s="15">
        <v>61120</v>
      </c>
      <c r="F8" s="15">
        <f>48495.1</f>
        <v>48495.1</v>
      </c>
      <c r="G8" s="129">
        <f>F8-E8</f>
        <v>-12624.900000000001</v>
      </c>
      <c r="H8" s="129">
        <f>(F8/E8)*100</f>
        <v>79.344077225130889</v>
      </c>
    </row>
    <row r="9" spans="1:10" ht="30" customHeight="1">
      <c r="A9" s="178">
        <v>3</v>
      </c>
      <c r="B9" s="128" t="s">
        <v>339</v>
      </c>
      <c r="C9" s="84"/>
      <c r="D9" s="15">
        <v>0</v>
      </c>
      <c r="E9" s="15">
        <v>1490.5</v>
      </c>
      <c r="F9" s="15">
        <v>751.9</v>
      </c>
      <c r="G9" s="129">
        <f t="shared" ref="G9:G27" si="0">F9-E9</f>
        <v>-738.6</v>
      </c>
      <c r="H9" s="129">
        <f t="shared" ref="H9:H27" si="1">(F9/E9)*100</f>
        <v>50.446159007044614</v>
      </c>
    </row>
    <row r="10" spans="1:10" ht="47.25" customHeight="1">
      <c r="A10" s="178">
        <v>4</v>
      </c>
      <c r="B10" s="128" t="s">
        <v>249</v>
      </c>
      <c r="C10" s="84"/>
      <c r="D10" s="15">
        <v>357.8</v>
      </c>
      <c r="E10" s="15">
        <v>0</v>
      </c>
      <c r="F10" s="15">
        <v>0</v>
      </c>
      <c r="G10" s="129">
        <f t="shared" si="0"/>
        <v>0</v>
      </c>
      <c r="H10" s="130" t="e">
        <f t="shared" si="1"/>
        <v>#DIV/0!</v>
      </c>
    </row>
    <row r="11" spans="1:10" ht="30" customHeight="1">
      <c r="A11" s="178">
        <v>5</v>
      </c>
      <c r="B11" s="128" t="s">
        <v>207</v>
      </c>
      <c r="C11" s="84"/>
      <c r="D11" s="15">
        <v>50.1</v>
      </c>
      <c r="E11" s="15">
        <v>0</v>
      </c>
      <c r="F11" s="15">
        <v>0</v>
      </c>
      <c r="G11" s="129">
        <f t="shared" si="0"/>
        <v>0</v>
      </c>
      <c r="H11" s="130" t="e">
        <f t="shared" si="1"/>
        <v>#DIV/0!</v>
      </c>
    </row>
    <row r="12" spans="1:10" ht="66.75" customHeight="1">
      <c r="A12" s="178">
        <v>6</v>
      </c>
      <c r="B12" s="128" t="s">
        <v>208</v>
      </c>
      <c r="C12" s="45"/>
      <c r="D12" s="15">
        <v>161.1</v>
      </c>
      <c r="E12" s="15">
        <v>0</v>
      </c>
      <c r="F12" s="15">
        <v>0</v>
      </c>
      <c r="G12" s="129">
        <f t="shared" si="0"/>
        <v>0</v>
      </c>
      <c r="H12" s="130" t="e">
        <f t="shared" si="1"/>
        <v>#DIV/0!</v>
      </c>
    </row>
    <row r="13" spans="1:10" ht="30.75" customHeight="1">
      <c r="A13" s="235" t="s">
        <v>35</v>
      </c>
      <c r="B13" s="235"/>
      <c r="C13" s="84">
        <v>1040</v>
      </c>
      <c r="D13" s="14">
        <f>SUM(D14:D19)</f>
        <v>8527.1</v>
      </c>
      <c r="E13" s="14">
        <f>SUM(E14:E19)</f>
        <v>8707.2000000000007</v>
      </c>
      <c r="F13" s="14">
        <f>SUM(F14:F19)</f>
        <v>12932.099999999999</v>
      </c>
      <c r="G13" s="111">
        <f t="shared" si="0"/>
        <v>4224.8999999999978</v>
      </c>
      <c r="H13" s="111">
        <f t="shared" si="1"/>
        <v>148.52191289966922</v>
      </c>
      <c r="J13" s="183">
        <v>12932.1</v>
      </c>
    </row>
    <row r="14" spans="1:10" ht="39.75" customHeight="1">
      <c r="A14" s="178">
        <v>1</v>
      </c>
      <c r="B14" s="128" t="s">
        <v>265</v>
      </c>
      <c r="C14" s="84"/>
      <c r="D14" s="15">
        <v>6834</v>
      </c>
      <c r="E14" s="15">
        <v>7824.2</v>
      </c>
      <c r="F14" s="15">
        <v>7378</v>
      </c>
      <c r="G14" s="129">
        <f t="shared" si="0"/>
        <v>-446.19999999999982</v>
      </c>
      <c r="H14" s="129">
        <f t="shared" si="1"/>
        <v>94.297180542419682</v>
      </c>
      <c r="J14" s="158"/>
    </row>
    <row r="15" spans="1:10" ht="52.5" customHeight="1">
      <c r="A15" s="178">
        <v>2</v>
      </c>
      <c r="B15" s="128" t="s">
        <v>266</v>
      </c>
      <c r="C15" s="84"/>
      <c r="D15" s="15">
        <v>497.3</v>
      </c>
      <c r="E15" s="15"/>
      <c r="F15" s="15">
        <v>1537.1</v>
      </c>
      <c r="G15" s="129">
        <f t="shared" si="0"/>
        <v>1537.1</v>
      </c>
      <c r="H15" s="130" t="e">
        <f t="shared" si="1"/>
        <v>#DIV/0!</v>
      </c>
      <c r="J15" s="158"/>
    </row>
    <row r="16" spans="1:10" ht="56.25" customHeight="1">
      <c r="A16" s="178">
        <v>3</v>
      </c>
      <c r="B16" s="208" t="s">
        <v>341</v>
      </c>
      <c r="C16" s="84"/>
      <c r="D16" s="15"/>
      <c r="E16" s="15">
        <v>883</v>
      </c>
      <c r="F16" s="15"/>
      <c r="G16" s="129">
        <f t="shared" si="0"/>
        <v>-883</v>
      </c>
      <c r="H16" s="129">
        <f t="shared" si="1"/>
        <v>0</v>
      </c>
      <c r="J16" s="158"/>
    </row>
    <row r="17" spans="1:11" ht="32.25" customHeight="1">
      <c r="A17" s="178">
        <v>4</v>
      </c>
      <c r="B17" s="128" t="s">
        <v>209</v>
      </c>
      <c r="C17" s="84"/>
      <c r="D17" s="15"/>
      <c r="E17" s="15"/>
      <c r="F17" s="15">
        <v>48.3</v>
      </c>
      <c r="G17" s="129">
        <f t="shared" si="0"/>
        <v>48.3</v>
      </c>
      <c r="H17" s="130" t="e">
        <f t="shared" si="1"/>
        <v>#DIV/0!</v>
      </c>
    </row>
    <row r="18" spans="1:11" ht="33" customHeight="1">
      <c r="A18" s="178">
        <v>5</v>
      </c>
      <c r="B18" s="128" t="s">
        <v>210</v>
      </c>
      <c r="C18" s="84"/>
      <c r="D18" s="15">
        <v>262.10000000000002</v>
      </c>
      <c r="E18" s="15"/>
      <c r="F18" s="15">
        <v>391.9</v>
      </c>
      <c r="G18" s="129">
        <f t="shared" si="0"/>
        <v>391.9</v>
      </c>
      <c r="H18" s="130" t="e">
        <f t="shared" si="1"/>
        <v>#DIV/0!</v>
      </c>
      <c r="J18" s="158"/>
    </row>
    <row r="19" spans="1:11" ht="30.75" customHeight="1">
      <c r="A19" s="178">
        <v>6</v>
      </c>
      <c r="B19" s="128" t="s">
        <v>211</v>
      </c>
      <c r="C19" s="84"/>
      <c r="D19" s="15">
        <v>933.7</v>
      </c>
      <c r="E19" s="15"/>
      <c r="F19" s="15">
        <v>3576.8</v>
      </c>
      <c r="G19" s="129">
        <f t="shared" si="0"/>
        <v>3576.8</v>
      </c>
      <c r="H19" s="130" t="e">
        <f t="shared" si="1"/>
        <v>#DIV/0!</v>
      </c>
      <c r="J19" s="158"/>
    </row>
    <row r="20" spans="1:11" ht="30.75" customHeight="1">
      <c r="A20" s="235" t="s">
        <v>77</v>
      </c>
      <c r="B20" s="235"/>
      <c r="C20" s="84">
        <v>1130</v>
      </c>
      <c r="D20" s="14">
        <f>D21</f>
        <v>35.700000000000003</v>
      </c>
      <c r="E20" s="14">
        <f>E21</f>
        <v>25</v>
      </c>
      <c r="F20" s="14">
        <f>F21</f>
        <v>95.3</v>
      </c>
      <c r="G20" s="111">
        <f t="shared" si="0"/>
        <v>70.3</v>
      </c>
      <c r="H20" s="111">
        <f t="shared" si="1"/>
        <v>381.2</v>
      </c>
    </row>
    <row r="21" spans="1:11" ht="45" customHeight="1">
      <c r="A21" s="178">
        <v>1</v>
      </c>
      <c r="B21" s="190" t="s">
        <v>213</v>
      </c>
      <c r="C21" s="45"/>
      <c r="D21" s="15">
        <v>35.700000000000003</v>
      </c>
      <c r="E21" s="15">
        <v>25</v>
      </c>
      <c r="F21" s="15">
        <v>95.3</v>
      </c>
      <c r="G21" s="129">
        <f t="shared" si="0"/>
        <v>70.3</v>
      </c>
      <c r="H21" s="129">
        <f t="shared" si="1"/>
        <v>381.2</v>
      </c>
    </row>
    <row r="22" spans="1:11" ht="30.75" customHeight="1">
      <c r="A22" s="235" t="s">
        <v>27</v>
      </c>
      <c r="B22" s="235"/>
      <c r="C22" s="84">
        <v>1150</v>
      </c>
      <c r="D22" s="14">
        <f>SUM(D23:D27)</f>
        <v>1412.8</v>
      </c>
      <c r="E22" s="14">
        <f>SUM(E23:E27)</f>
        <v>1478</v>
      </c>
      <c r="F22" s="14">
        <f>SUM(F23:F27)</f>
        <v>2877.7</v>
      </c>
      <c r="G22" s="111">
        <f t="shared" si="0"/>
        <v>1399.6999999999998</v>
      </c>
      <c r="H22" s="111">
        <f t="shared" si="1"/>
        <v>194.70230040595396</v>
      </c>
      <c r="J22" s="158"/>
    </row>
    <row r="23" spans="1:11" ht="42" customHeight="1">
      <c r="A23" s="53">
        <v>1</v>
      </c>
      <c r="B23" s="128" t="s">
        <v>212</v>
      </c>
      <c r="C23" s="84"/>
      <c r="D23" s="15">
        <v>9.5</v>
      </c>
      <c r="E23" s="14">
        <v>0</v>
      </c>
      <c r="F23" s="15">
        <v>0</v>
      </c>
      <c r="G23" s="129">
        <v>0</v>
      </c>
      <c r="H23" s="130" t="e">
        <f t="shared" si="1"/>
        <v>#DIV/0!</v>
      </c>
    </row>
    <row r="24" spans="1:11" ht="47.25" customHeight="1">
      <c r="A24" s="53">
        <v>2</v>
      </c>
      <c r="B24" s="128" t="s">
        <v>250</v>
      </c>
      <c r="C24" s="84"/>
      <c r="D24" s="15">
        <v>22.9</v>
      </c>
      <c r="E24" s="14">
        <v>0</v>
      </c>
      <c r="F24" s="15">
        <v>0</v>
      </c>
      <c r="G24" s="129">
        <f t="shared" si="0"/>
        <v>0</v>
      </c>
      <c r="H24" s="130" t="e">
        <f t="shared" si="1"/>
        <v>#DIV/0!</v>
      </c>
    </row>
    <row r="25" spans="1:11" ht="47.25" customHeight="1">
      <c r="A25" s="53">
        <v>3</v>
      </c>
      <c r="B25" s="128" t="s">
        <v>238</v>
      </c>
      <c r="C25" s="84"/>
      <c r="D25" s="15">
        <v>15.7</v>
      </c>
      <c r="E25" s="14">
        <v>0</v>
      </c>
      <c r="F25" s="15">
        <v>0</v>
      </c>
      <c r="G25" s="129">
        <f t="shared" si="0"/>
        <v>0</v>
      </c>
      <c r="H25" s="130" t="e">
        <f t="shared" si="1"/>
        <v>#DIV/0!</v>
      </c>
    </row>
    <row r="26" spans="1:11" ht="30.75" customHeight="1">
      <c r="A26" s="53">
        <v>4</v>
      </c>
      <c r="B26" s="128" t="s">
        <v>209</v>
      </c>
      <c r="C26" s="84"/>
      <c r="D26" s="15">
        <v>39.9</v>
      </c>
      <c r="E26" s="15">
        <v>48</v>
      </c>
      <c r="F26" s="15"/>
      <c r="G26" s="129">
        <f t="shared" si="0"/>
        <v>-48</v>
      </c>
      <c r="H26" s="129">
        <f t="shared" si="1"/>
        <v>0</v>
      </c>
    </row>
    <row r="27" spans="1:11" ht="37.5" customHeight="1">
      <c r="A27" s="53">
        <v>5</v>
      </c>
      <c r="B27" s="128" t="s">
        <v>234</v>
      </c>
      <c r="C27" s="84"/>
      <c r="D27" s="15">
        <v>1324.8</v>
      </c>
      <c r="E27" s="15">
        <v>1430</v>
      </c>
      <c r="F27" s="15">
        <v>2877.7</v>
      </c>
      <c r="G27" s="129">
        <f t="shared" si="0"/>
        <v>1447.6999999999998</v>
      </c>
      <c r="H27" s="129">
        <f t="shared" si="1"/>
        <v>201.23776223776221</v>
      </c>
    </row>
    <row r="28" spans="1:11" ht="35.25" customHeight="1">
      <c r="A28" s="233" t="s">
        <v>78</v>
      </c>
      <c r="B28" s="233"/>
      <c r="C28" s="84"/>
      <c r="D28" s="14"/>
      <c r="E28" s="14"/>
      <c r="F28" s="14"/>
      <c r="G28" s="129"/>
      <c r="H28" s="129"/>
    </row>
    <row r="29" spans="1:11" ht="48" customHeight="1">
      <c r="A29" s="227" t="s">
        <v>79</v>
      </c>
      <c r="B29" s="227"/>
      <c r="C29" s="45"/>
      <c r="D29" s="14"/>
      <c r="E29" s="14"/>
      <c r="F29" s="14"/>
      <c r="G29" s="129"/>
      <c r="H29" s="129"/>
    </row>
    <row r="30" spans="1:11" ht="34.5" customHeight="1">
      <c r="A30" s="234" t="s">
        <v>80</v>
      </c>
      <c r="B30" s="234"/>
      <c r="C30" s="84">
        <v>1011</v>
      </c>
      <c r="D30" s="14">
        <f>SUM(D31:D42)</f>
        <v>6832.7</v>
      </c>
      <c r="E30" s="14">
        <f>SUM(E31:E42)</f>
        <v>8197.4000000000015</v>
      </c>
      <c r="F30" s="14">
        <f>SUM(F31:F42)</f>
        <v>13154.500000000002</v>
      </c>
      <c r="G30" s="111">
        <f>F30-E30</f>
        <v>4957.1000000000004</v>
      </c>
      <c r="H30" s="111">
        <f>(F30/E30)*100</f>
        <v>160.47161295044771</v>
      </c>
      <c r="J30" s="158">
        <v>8197.4</v>
      </c>
      <c r="K30" s="20"/>
    </row>
    <row r="31" spans="1:11" ht="33.75" customHeight="1">
      <c r="A31" s="84"/>
      <c r="B31" s="128" t="s">
        <v>192</v>
      </c>
      <c r="C31" s="84"/>
      <c r="D31" s="15">
        <v>2138</v>
      </c>
      <c r="E31" s="209">
        <v>3039.8</v>
      </c>
      <c r="F31" s="15">
        <v>2890.7</v>
      </c>
      <c r="G31" s="129">
        <f t="shared" ref="G31:G40" si="2">F31-E31</f>
        <v>-149.10000000000036</v>
      </c>
      <c r="H31" s="129">
        <f t="shared" ref="H31:H40" si="3">(F31/E31)*100</f>
        <v>95.095072044213424</v>
      </c>
      <c r="J31" s="158"/>
    </row>
    <row r="32" spans="1:11" ht="48" customHeight="1">
      <c r="A32" s="84"/>
      <c r="B32" s="128" t="s">
        <v>191</v>
      </c>
      <c r="C32" s="84"/>
      <c r="D32" s="15">
        <v>2</v>
      </c>
      <c r="E32" s="209"/>
      <c r="F32" s="15">
        <v>0</v>
      </c>
      <c r="G32" s="129">
        <f t="shared" si="2"/>
        <v>0</v>
      </c>
      <c r="H32" s="130" t="e">
        <f t="shared" si="3"/>
        <v>#DIV/0!</v>
      </c>
      <c r="J32" s="158"/>
    </row>
    <row r="33" spans="1:11" ht="29.25" customHeight="1">
      <c r="A33" s="84"/>
      <c r="B33" s="128" t="s">
        <v>195</v>
      </c>
      <c r="C33" s="84"/>
      <c r="D33" s="15">
        <v>165.4</v>
      </c>
      <c r="E33" s="209"/>
      <c r="F33" s="15">
        <v>152.9</v>
      </c>
      <c r="G33" s="129">
        <f t="shared" si="2"/>
        <v>152.9</v>
      </c>
      <c r="H33" s="130" t="e">
        <f t="shared" si="3"/>
        <v>#DIV/0!</v>
      </c>
      <c r="J33" s="158"/>
    </row>
    <row r="34" spans="1:11" ht="29.25" customHeight="1">
      <c r="A34" s="84"/>
      <c r="B34" s="128" t="s">
        <v>348</v>
      </c>
      <c r="C34" s="84"/>
      <c r="D34" s="15">
        <v>146.4</v>
      </c>
      <c r="E34" s="209"/>
      <c r="F34" s="15">
        <v>183</v>
      </c>
      <c r="G34" s="129">
        <f t="shared" si="2"/>
        <v>183</v>
      </c>
      <c r="H34" s="130" t="e">
        <f t="shared" si="3"/>
        <v>#DIV/0!</v>
      </c>
      <c r="J34" s="158"/>
    </row>
    <row r="35" spans="1:11" ht="27.75" customHeight="1">
      <c r="A35" s="84"/>
      <c r="B35" s="128" t="s">
        <v>196</v>
      </c>
      <c r="C35" s="84"/>
      <c r="D35" s="15">
        <v>4.5999999999999996</v>
      </c>
      <c r="E35" s="209"/>
      <c r="F35" s="15"/>
      <c r="G35" s="129">
        <f t="shared" si="2"/>
        <v>0</v>
      </c>
      <c r="H35" s="130" t="e">
        <f t="shared" si="3"/>
        <v>#DIV/0!</v>
      </c>
      <c r="J35" s="158"/>
    </row>
    <row r="36" spans="1:11" ht="34.5" customHeight="1">
      <c r="A36" s="84"/>
      <c r="B36" s="190" t="s">
        <v>214</v>
      </c>
      <c r="C36" s="84"/>
      <c r="D36" s="15">
        <v>3786.6</v>
      </c>
      <c r="E36" s="210">
        <v>4160</v>
      </c>
      <c r="F36" s="15">
        <v>7769.8</v>
      </c>
      <c r="G36" s="129">
        <f t="shared" si="2"/>
        <v>3609.8</v>
      </c>
      <c r="H36" s="129">
        <f t="shared" si="3"/>
        <v>186.77403846153845</v>
      </c>
    </row>
    <row r="37" spans="1:11" ht="42.75" customHeight="1">
      <c r="A37" s="84"/>
      <c r="B37" s="190" t="s">
        <v>193</v>
      </c>
      <c r="C37" s="84"/>
      <c r="D37" s="15"/>
      <c r="E37" s="210"/>
      <c r="F37" s="15">
        <v>811.9</v>
      </c>
      <c r="G37" s="129">
        <f t="shared" si="2"/>
        <v>811.9</v>
      </c>
      <c r="H37" s="130" t="e">
        <f t="shared" si="3"/>
        <v>#DIV/0!</v>
      </c>
    </row>
    <row r="38" spans="1:11" ht="29.25" customHeight="1">
      <c r="A38" s="84"/>
      <c r="B38" s="128" t="s">
        <v>140</v>
      </c>
      <c r="C38" s="84"/>
      <c r="D38" s="15">
        <v>255.8</v>
      </c>
      <c r="E38" s="210">
        <f>205+205</f>
        <v>410</v>
      </c>
      <c r="F38" s="15">
        <v>572.70000000000005</v>
      </c>
      <c r="G38" s="129">
        <f t="shared" si="2"/>
        <v>162.70000000000005</v>
      </c>
      <c r="H38" s="129">
        <f t="shared" si="3"/>
        <v>139.6829268292683</v>
      </c>
    </row>
    <row r="39" spans="1:11" ht="30" customHeight="1">
      <c r="A39" s="84"/>
      <c r="B39" s="190" t="s">
        <v>141</v>
      </c>
      <c r="C39" s="84"/>
      <c r="D39" s="15">
        <v>1.9</v>
      </c>
      <c r="E39" s="210">
        <f>55+55</f>
        <v>110</v>
      </c>
      <c r="F39" s="15">
        <v>0</v>
      </c>
      <c r="G39" s="129">
        <f t="shared" si="2"/>
        <v>-110</v>
      </c>
      <c r="H39" s="129">
        <f t="shared" si="3"/>
        <v>0</v>
      </c>
    </row>
    <row r="40" spans="1:11" ht="29.25" customHeight="1">
      <c r="A40" s="84"/>
      <c r="B40" s="190" t="s">
        <v>181</v>
      </c>
      <c r="C40" s="84"/>
      <c r="D40" s="15">
        <v>45.4</v>
      </c>
      <c r="E40" s="210">
        <v>208.6</v>
      </c>
      <c r="F40" s="15">
        <v>136.19999999999999</v>
      </c>
      <c r="G40" s="129">
        <f t="shared" si="2"/>
        <v>-72.400000000000006</v>
      </c>
      <c r="H40" s="129">
        <f t="shared" si="3"/>
        <v>65.292425695110254</v>
      </c>
    </row>
    <row r="41" spans="1:11" ht="66.75" customHeight="1">
      <c r="A41" s="165"/>
      <c r="B41" s="128" t="s">
        <v>215</v>
      </c>
      <c r="C41" s="45"/>
      <c r="D41" s="15">
        <v>246.5</v>
      </c>
      <c r="E41" s="210">
        <f>127.5+127.5</f>
        <v>255</v>
      </c>
      <c r="F41" s="15">
        <f>588-32.9</f>
        <v>555.1</v>
      </c>
      <c r="G41" s="129">
        <f>F41-E41</f>
        <v>300.10000000000002</v>
      </c>
      <c r="H41" s="129">
        <f>(F41/E41)*100</f>
        <v>217.68627450980392</v>
      </c>
    </row>
    <row r="42" spans="1:11" ht="43.5" customHeight="1">
      <c r="A42" s="165"/>
      <c r="B42" s="128" t="s">
        <v>164</v>
      </c>
      <c r="C42" s="45"/>
      <c r="D42" s="15">
        <v>40.1</v>
      </c>
      <c r="E42" s="210">
        <v>14</v>
      </c>
      <c r="F42" s="15">
        <v>82.2</v>
      </c>
      <c r="G42" s="129">
        <f>F42-E42</f>
        <v>68.2</v>
      </c>
      <c r="H42" s="129">
        <f>(F42/E42)*100</f>
        <v>587.14285714285722</v>
      </c>
    </row>
    <row r="43" spans="1:11" ht="35.25" customHeight="1">
      <c r="A43" s="234" t="s">
        <v>81</v>
      </c>
      <c r="B43" s="234"/>
      <c r="C43" s="84">
        <v>1015</v>
      </c>
      <c r="D43" s="14">
        <f>SUM(D44:D68)</f>
        <v>5201.8</v>
      </c>
      <c r="E43" s="14">
        <f>SUM(E44:E68)</f>
        <v>4950.1000000000004</v>
      </c>
      <c r="F43" s="14">
        <f>SUM(F44:F68)</f>
        <v>4931.3</v>
      </c>
      <c r="G43" s="111">
        <f>F43-E43</f>
        <v>-18.800000000000182</v>
      </c>
      <c r="H43" s="111">
        <f>(F43/E43)*100</f>
        <v>99.620209692733468</v>
      </c>
      <c r="J43" s="17">
        <v>4950.1000000000004</v>
      </c>
      <c r="K43" s="158"/>
    </row>
    <row r="44" spans="1:11" ht="31.5" customHeight="1">
      <c r="A44" s="84"/>
      <c r="B44" s="115" t="s">
        <v>147</v>
      </c>
      <c r="C44" s="84"/>
      <c r="D44" s="15">
        <v>3.7</v>
      </c>
      <c r="E44" s="15">
        <f>30+12.6</f>
        <v>42.6</v>
      </c>
      <c r="F44" s="15">
        <v>27.7</v>
      </c>
      <c r="G44" s="129">
        <f t="shared" ref="G44:G50" si="4">F44-E44</f>
        <v>-14.900000000000002</v>
      </c>
      <c r="H44" s="129">
        <f t="shared" ref="H44:H50" si="5">(F44/E44)*100</f>
        <v>65.023474178403745</v>
      </c>
      <c r="K44" s="158"/>
    </row>
    <row r="45" spans="1:11" ht="30" customHeight="1">
      <c r="A45" s="84"/>
      <c r="B45" s="128" t="s">
        <v>148</v>
      </c>
      <c r="C45" s="84"/>
      <c r="D45" s="15">
        <v>81.5</v>
      </c>
      <c r="E45" s="15">
        <f>125+12.6</f>
        <v>137.6</v>
      </c>
      <c r="F45" s="15">
        <v>177.5</v>
      </c>
      <c r="G45" s="129">
        <f t="shared" si="4"/>
        <v>39.900000000000006</v>
      </c>
      <c r="H45" s="129">
        <f t="shared" si="5"/>
        <v>128.99709302325581</v>
      </c>
    </row>
    <row r="46" spans="1:11" ht="28.5" customHeight="1">
      <c r="A46" s="84"/>
      <c r="B46" s="128" t="s">
        <v>149</v>
      </c>
      <c r="C46" s="84"/>
      <c r="D46" s="15">
        <v>48.9</v>
      </c>
      <c r="E46" s="15"/>
      <c r="F46" s="15">
        <v>0</v>
      </c>
      <c r="G46" s="129">
        <f t="shared" si="4"/>
        <v>0</v>
      </c>
      <c r="H46" s="130" t="e">
        <f t="shared" si="5"/>
        <v>#DIV/0!</v>
      </c>
    </row>
    <row r="47" spans="1:11" ht="25.5" customHeight="1">
      <c r="A47" s="84"/>
      <c r="B47" s="128" t="s">
        <v>150</v>
      </c>
      <c r="C47" s="84"/>
      <c r="D47" s="15">
        <v>20.3</v>
      </c>
      <c r="E47" s="15">
        <v>38.200000000000003</v>
      </c>
      <c r="F47" s="15">
        <v>49</v>
      </c>
      <c r="G47" s="129">
        <f t="shared" si="4"/>
        <v>10.799999999999997</v>
      </c>
      <c r="H47" s="129">
        <f t="shared" si="5"/>
        <v>128.27225130890051</v>
      </c>
    </row>
    <row r="48" spans="1:11" ht="27.75" customHeight="1">
      <c r="A48" s="84"/>
      <c r="B48" s="128" t="s">
        <v>151</v>
      </c>
      <c r="C48" s="84"/>
      <c r="D48" s="15">
        <v>72.8</v>
      </c>
      <c r="E48" s="15">
        <f>160+12</f>
        <v>172</v>
      </c>
      <c r="F48" s="15">
        <v>103.5</v>
      </c>
      <c r="G48" s="129">
        <f t="shared" si="4"/>
        <v>-68.5</v>
      </c>
      <c r="H48" s="129">
        <f t="shared" si="5"/>
        <v>60.174418604651159</v>
      </c>
    </row>
    <row r="49" spans="1:14" ht="35.25" customHeight="1">
      <c r="A49" s="84"/>
      <c r="B49" s="128" t="s">
        <v>183</v>
      </c>
      <c r="C49" s="84"/>
      <c r="D49" s="15">
        <v>64</v>
      </c>
      <c r="E49" s="15">
        <f>41+20</f>
        <v>61</v>
      </c>
      <c r="F49" s="15">
        <v>17.100000000000001</v>
      </c>
      <c r="G49" s="129">
        <f t="shared" si="4"/>
        <v>-43.9</v>
      </c>
      <c r="H49" s="129">
        <f t="shared" si="5"/>
        <v>28.032786885245901</v>
      </c>
    </row>
    <row r="50" spans="1:14" ht="35.25" customHeight="1">
      <c r="A50" s="84"/>
      <c r="B50" s="115" t="s">
        <v>152</v>
      </c>
      <c r="C50" s="84"/>
      <c r="D50" s="15">
        <v>136.9</v>
      </c>
      <c r="E50" s="15">
        <f>150+60+22</f>
        <v>232</v>
      </c>
      <c r="F50" s="15">
        <v>42.4</v>
      </c>
      <c r="G50" s="129">
        <f t="shared" si="4"/>
        <v>-189.6</v>
      </c>
      <c r="H50" s="129">
        <f t="shared" si="5"/>
        <v>18.275862068965516</v>
      </c>
    </row>
    <row r="51" spans="1:14" ht="28.5" customHeight="1">
      <c r="A51" s="159"/>
      <c r="B51" s="115" t="s">
        <v>153</v>
      </c>
      <c r="C51" s="45"/>
      <c r="D51" s="15">
        <v>42</v>
      </c>
      <c r="E51" s="15">
        <f>35+15</f>
        <v>50</v>
      </c>
      <c r="F51" s="15">
        <v>53.5</v>
      </c>
      <c r="G51" s="129">
        <f>F51-E51</f>
        <v>3.5</v>
      </c>
      <c r="H51" s="129">
        <f>(F51/E51)*100</f>
        <v>107</v>
      </c>
    </row>
    <row r="52" spans="1:14" ht="28.5" customHeight="1">
      <c r="A52" s="159"/>
      <c r="B52" s="115" t="s">
        <v>299</v>
      </c>
      <c r="C52" s="45"/>
      <c r="D52" s="15"/>
      <c r="E52" s="15">
        <f>6.3+6.3</f>
        <v>12.6</v>
      </c>
      <c r="F52" s="15">
        <v>12.7</v>
      </c>
      <c r="G52" s="129">
        <f>F52-E52</f>
        <v>9.9999999999999645E-2</v>
      </c>
      <c r="H52" s="129">
        <f>(F52/E52)*100</f>
        <v>100.79365079365078</v>
      </c>
    </row>
    <row r="53" spans="1:14" ht="27" customHeight="1">
      <c r="A53" s="159"/>
      <c r="B53" s="115" t="s">
        <v>166</v>
      </c>
      <c r="C53" s="45"/>
      <c r="D53" s="15">
        <v>0.8</v>
      </c>
      <c r="E53" s="15">
        <f>1.6</f>
        <v>1.6</v>
      </c>
      <c r="F53" s="15">
        <v>0.8</v>
      </c>
      <c r="G53" s="129">
        <f t="shared" ref="G53:G68" si="6">F53-E53</f>
        <v>-0.8</v>
      </c>
      <c r="H53" s="129">
        <f t="shared" ref="H53:H68" si="7">(F53/E53)*100</f>
        <v>50</v>
      </c>
    </row>
    <row r="54" spans="1:14" ht="28.5" customHeight="1">
      <c r="A54" s="159"/>
      <c r="B54" s="128" t="s">
        <v>216</v>
      </c>
      <c r="C54" s="45"/>
      <c r="D54" s="15">
        <v>37.799999999999997</v>
      </c>
      <c r="E54" s="15">
        <f>30.8+17.4</f>
        <v>48.2</v>
      </c>
      <c r="F54" s="15">
        <v>52.6</v>
      </c>
      <c r="G54" s="129">
        <f t="shared" si="6"/>
        <v>4.3999999999999986</v>
      </c>
      <c r="H54" s="129">
        <f t="shared" si="7"/>
        <v>109.12863070539419</v>
      </c>
    </row>
    <row r="55" spans="1:14" ht="28.5" customHeight="1">
      <c r="A55" s="159"/>
      <c r="B55" s="128" t="s">
        <v>155</v>
      </c>
      <c r="C55" s="45"/>
      <c r="D55" s="15">
        <v>6.7</v>
      </c>
      <c r="E55" s="15">
        <f>20+15.2</f>
        <v>35.200000000000003</v>
      </c>
      <c r="F55" s="15">
        <v>5.9</v>
      </c>
      <c r="G55" s="129">
        <f t="shared" si="6"/>
        <v>-29.300000000000004</v>
      </c>
      <c r="H55" s="129">
        <f t="shared" si="7"/>
        <v>16.761363636363637</v>
      </c>
    </row>
    <row r="56" spans="1:14" ht="39" customHeight="1">
      <c r="A56" s="159"/>
      <c r="B56" s="115" t="s">
        <v>168</v>
      </c>
      <c r="C56" s="45"/>
      <c r="D56" s="15"/>
      <c r="E56" s="15">
        <f>37.5+37.5</f>
        <v>75</v>
      </c>
      <c r="F56" s="15">
        <v>22.5</v>
      </c>
      <c r="G56" s="129">
        <f t="shared" si="6"/>
        <v>-52.5</v>
      </c>
      <c r="H56" s="129">
        <f t="shared" si="7"/>
        <v>30</v>
      </c>
    </row>
    <row r="57" spans="1:14" ht="45.75" customHeight="1">
      <c r="A57" s="159"/>
      <c r="B57" s="115" t="s">
        <v>170</v>
      </c>
      <c r="C57" s="45"/>
      <c r="D57" s="15">
        <v>9.1</v>
      </c>
      <c r="E57" s="15">
        <f>8.8+8.7</f>
        <v>17.5</v>
      </c>
      <c r="F57" s="15">
        <v>0</v>
      </c>
      <c r="G57" s="129">
        <f t="shared" si="6"/>
        <v>-17.5</v>
      </c>
      <c r="H57" s="129">
        <f t="shared" si="7"/>
        <v>0</v>
      </c>
    </row>
    <row r="58" spans="1:14" ht="27.75" customHeight="1">
      <c r="A58" s="159"/>
      <c r="B58" s="194" t="s">
        <v>217</v>
      </c>
      <c r="C58" s="45"/>
      <c r="D58" s="15">
        <v>166</v>
      </c>
      <c r="E58" s="15">
        <f>50+75</f>
        <v>125</v>
      </c>
      <c r="F58" s="15">
        <v>580.20000000000005</v>
      </c>
      <c r="G58" s="129">
        <f t="shared" si="6"/>
        <v>455.20000000000005</v>
      </c>
      <c r="H58" s="129">
        <f t="shared" si="7"/>
        <v>464.16</v>
      </c>
      <c r="N58" s="158"/>
    </row>
    <row r="59" spans="1:14" ht="34.5" customHeight="1">
      <c r="A59" s="159"/>
      <c r="B59" s="128" t="s">
        <v>184</v>
      </c>
      <c r="C59" s="45"/>
      <c r="D59" s="15">
        <v>4.3</v>
      </c>
      <c r="E59" s="15">
        <v>4</v>
      </c>
      <c r="F59" s="15">
        <v>0.8</v>
      </c>
      <c r="G59" s="129">
        <f t="shared" si="6"/>
        <v>-3.2</v>
      </c>
      <c r="H59" s="129">
        <f t="shared" si="7"/>
        <v>20</v>
      </c>
    </row>
    <row r="60" spans="1:14" ht="30.75" customHeight="1">
      <c r="A60" s="159"/>
      <c r="B60" s="128" t="s">
        <v>242</v>
      </c>
      <c r="C60" s="45"/>
      <c r="D60" s="15"/>
      <c r="E60" s="15">
        <f>3.8+3.8</f>
        <v>7.6</v>
      </c>
      <c r="F60" s="15">
        <v>23.2</v>
      </c>
      <c r="G60" s="129">
        <f t="shared" si="6"/>
        <v>15.6</v>
      </c>
      <c r="H60" s="129">
        <f t="shared" si="7"/>
        <v>305.26315789473688</v>
      </c>
    </row>
    <row r="61" spans="1:14" ht="30" customHeight="1">
      <c r="A61" s="159"/>
      <c r="B61" s="115" t="s">
        <v>174</v>
      </c>
      <c r="C61" s="45"/>
      <c r="D61" s="15">
        <v>2590.3000000000002</v>
      </c>
      <c r="E61" s="15">
        <f>108.3+2811.1</f>
        <v>2919.4</v>
      </c>
      <c r="F61" s="15">
        <v>2811.1</v>
      </c>
      <c r="G61" s="129">
        <f t="shared" si="6"/>
        <v>-108.30000000000018</v>
      </c>
      <c r="H61" s="129">
        <f t="shared" si="7"/>
        <v>96.290333630197978</v>
      </c>
    </row>
    <row r="62" spans="1:14" ht="31.5" customHeight="1">
      <c r="A62" s="159"/>
      <c r="B62" s="133" t="s">
        <v>175</v>
      </c>
      <c r="C62" s="45"/>
      <c r="D62" s="15">
        <v>146.5</v>
      </c>
      <c r="E62" s="15">
        <f>8.4+174.3</f>
        <v>182.70000000000002</v>
      </c>
      <c r="F62" s="15">
        <v>178</v>
      </c>
      <c r="G62" s="129">
        <f t="shared" si="6"/>
        <v>-4.7000000000000171</v>
      </c>
      <c r="H62" s="129">
        <f t="shared" si="7"/>
        <v>97.427476737821564</v>
      </c>
      <c r="K62" s="18"/>
    </row>
    <row r="63" spans="1:14" ht="32.25" customHeight="1">
      <c r="A63" s="159"/>
      <c r="B63" s="133" t="s">
        <v>176</v>
      </c>
      <c r="C63" s="45"/>
      <c r="D63" s="15">
        <v>1708.7</v>
      </c>
      <c r="E63" s="15">
        <f>66.6+626.5</f>
        <v>693.1</v>
      </c>
      <c r="F63" s="15">
        <v>635.4</v>
      </c>
      <c r="G63" s="129">
        <f t="shared" si="6"/>
        <v>-57.700000000000045</v>
      </c>
      <c r="H63" s="129">
        <f t="shared" si="7"/>
        <v>91.675082960611746</v>
      </c>
      <c r="K63" s="18"/>
    </row>
    <row r="64" spans="1:14" ht="27.75" customHeight="1">
      <c r="A64" s="159"/>
      <c r="B64" s="133" t="s">
        <v>177</v>
      </c>
      <c r="C64" s="45"/>
      <c r="D64" s="15">
        <v>61.5</v>
      </c>
      <c r="E64" s="15">
        <f>4.6+88.7</f>
        <v>93.3</v>
      </c>
      <c r="F64" s="15">
        <v>102.6</v>
      </c>
      <c r="G64" s="129">
        <f t="shared" si="6"/>
        <v>9.2999999999999972</v>
      </c>
      <c r="H64" s="129">
        <f t="shared" si="7"/>
        <v>109.96784565916397</v>
      </c>
      <c r="K64" s="18"/>
    </row>
    <row r="65" spans="1:13" ht="39.75" customHeight="1">
      <c r="A65" s="159"/>
      <c r="B65" s="128" t="s">
        <v>414</v>
      </c>
      <c r="C65" s="45"/>
      <c r="D65" s="15"/>
      <c r="E65" s="15"/>
      <c r="F65" s="15">
        <v>13.6</v>
      </c>
      <c r="G65" s="129">
        <f t="shared" si="6"/>
        <v>13.6</v>
      </c>
      <c r="H65" s="130" t="e">
        <f t="shared" si="7"/>
        <v>#DIV/0!</v>
      </c>
      <c r="K65" s="18"/>
      <c r="L65" s="158"/>
    </row>
    <row r="66" spans="1:13" ht="26.25" customHeight="1">
      <c r="A66" s="159"/>
      <c r="B66" s="133" t="s">
        <v>304</v>
      </c>
      <c r="C66" s="45"/>
      <c r="D66" s="15"/>
      <c r="E66" s="15"/>
      <c r="F66" s="15">
        <v>1.5</v>
      </c>
      <c r="G66" s="129">
        <f t="shared" si="6"/>
        <v>1.5</v>
      </c>
      <c r="H66" s="130" t="e">
        <f t="shared" si="7"/>
        <v>#DIV/0!</v>
      </c>
    </row>
    <row r="67" spans="1:13" ht="31.5" customHeight="1">
      <c r="A67" s="159"/>
      <c r="B67" s="133" t="s">
        <v>248</v>
      </c>
      <c r="C67" s="45"/>
      <c r="D67" s="15"/>
      <c r="E67" s="15">
        <v>1.5</v>
      </c>
      <c r="F67" s="15">
        <v>4.5</v>
      </c>
      <c r="G67" s="129">
        <f t="shared" si="6"/>
        <v>3</v>
      </c>
      <c r="H67" s="129">
        <f t="shared" si="7"/>
        <v>300</v>
      </c>
    </row>
    <row r="68" spans="1:13" ht="32.25" customHeight="1">
      <c r="A68" s="159"/>
      <c r="B68" s="128" t="s">
        <v>178</v>
      </c>
      <c r="C68" s="45"/>
      <c r="D68" s="15"/>
      <c r="E68" s="15"/>
      <c r="F68" s="15">
        <v>15.2</v>
      </c>
      <c r="G68" s="129">
        <f t="shared" si="6"/>
        <v>15.2</v>
      </c>
      <c r="H68" s="130" t="e">
        <f t="shared" si="7"/>
        <v>#DIV/0!</v>
      </c>
    </row>
    <row r="69" spans="1:13" s="50" customFormat="1" ht="31.5" customHeight="1">
      <c r="A69" s="227" t="s">
        <v>82</v>
      </c>
      <c r="B69" s="227"/>
      <c r="C69" s="211"/>
      <c r="D69" s="14"/>
      <c r="E69" s="14"/>
      <c r="F69" s="14"/>
      <c r="G69" s="129"/>
      <c r="H69" s="129"/>
    </row>
    <row r="70" spans="1:13" s="50" customFormat="1" ht="29.25" customHeight="1">
      <c r="A70" s="234" t="s">
        <v>80</v>
      </c>
      <c r="B70" s="234"/>
      <c r="C70" s="84">
        <v>1021</v>
      </c>
      <c r="D70" s="14">
        <f>SUM(D72:D73)</f>
        <v>25.1</v>
      </c>
      <c r="E70" s="14">
        <f>SUM(E72:E73)</f>
        <v>35</v>
      </c>
      <c r="F70" s="14">
        <f>SUM(F71:F73)</f>
        <v>33.9</v>
      </c>
      <c r="G70" s="129">
        <f>F70-E70</f>
        <v>-1.1000000000000014</v>
      </c>
      <c r="H70" s="129">
        <f>(F70/E70)*100</f>
        <v>96.857142857142847</v>
      </c>
    </row>
    <row r="71" spans="1:13" s="50" customFormat="1" ht="29.25" customHeight="1">
      <c r="A71" s="84"/>
      <c r="B71" s="46" t="s">
        <v>181</v>
      </c>
      <c r="C71" s="84"/>
      <c r="D71" s="14"/>
      <c r="E71" s="14"/>
      <c r="F71" s="15">
        <v>7.6</v>
      </c>
      <c r="G71" s="129"/>
      <c r="H71" s="129"/>
    </row>
    <row r="72" spans="1:13" s="50" customFormat="1" ht="66" customHeight="1">
      <c r="A72" s="84"/>
      <c r="B72" s="128" t="s">
        <v>215</v>
      </c>
      <c r="C72" s="84"/>
      <c r="D72" s="15">
        <v>1.3</v>
      </c>
      <c r="E72" s="15">
        <f>7.5+7.5</f>
        <v>15</v>
      </c>
      <c r="F72" s="15">
        <v>9.4</v>
      </c>
      <c r="G72" s="129">
        <f>F72-E72</f>
        <v>-5.6</v>
      </c>
      <c r="H72" s="129">
        <f>(F72/E72)*100</f>
        <v>62.666666666666671</v>
      </c>
      <c r="K72" s="105"/>
    </row>
    <row r="73" spans="1:13" s="50" customFormat="1" ht="35.25" customHeight="1">
      <c r="A73" s="84"/>
      <c r="B73" s="128" t="s">
        <v>164</v>
      </c>
      <c r="C73" s="84"/>
      <c r="D73" s="15">
        <v>23.8</v>
      </c>
      <c r="E73" s="15">
        <v>20</v>
      </c>
      <c r="F73" s="15">
        <f>3.9+13</f>
        <v>16.899999999999999</v>
      </c>
      <c r="G73" s="129">
        <f>F73-E73</f>
        <v>-3.1000000000000014</v>
      </c>
      <c r="H73" s="212">
        <f>(F73/E73)*100</f>
        <v>84.5</v>
      </c>
    </row>
    <row r="74" spans="1:13" s="50" customFormat="1" ht="31.5" customHeight="1">
      <c r="A74" s="234" t="s">
        <v>83</v>
      </c>
      <c r="B74" s="234"/>
      <c r="C74" s="211">
        <v>1025</v>
      </c>
      <c r="D74" s="14">
        <f>SUM(D75:D91)</f>
        <v>194.89999999999998</v>
      </c>
      <c r="E74" s="14">
        <f>SUM(E75:E91)</f>
        <v>598.99999999999989</v>
      </c>
      <c r="F74" s="14">
        <f>SUM(F75:F91)</f>
        <v>495.00000000000011</v>
      </c>
      <c r="G74" s="129">
        <f>F74-E74</f>
        <v>-103.99999999999977</v>
      </c>
      <c r="H74" s="129">
        <f>(F74/E74)*100</f>
        <v>82.637729549248789</v>
      </c>
      <c r="K74" s="50">
        <v>599</v>
      </c>
      <c r="L74" s="50">
        <v>495</v>
      </c>
    </row>
    <row r="75" spans="1:13" s="50" customFormat="1" ht="31.5" customHeight="1">
      <c r="A75" s="84"/>
      <c r="B75" s="128" t="s">
        <v>155</v>
      </c>
      <c r="C75" s="211"/>
      <c r="D75" s="15">
        <v>16.2</v>
      </c>
      <c r="E75" s="15">
        <f>0.8+3.8</f>
        <v>4.5999999999999996</v>
      </c>
      <c r="F75" s="15">
        <f>38+2.9</f>
        <v>40.9</v>
      </c>
      <c r="G75" s="129">
        <f t="shared" ref="G75:G88" si="8">F75-E75</f>
        <v>36.299999999999997</v>
      </c>
      <c r="H75" s="129">
        <f t="shared" ref="H75:H88" si="9">(F75/E75)*100</f>
        <v>889.13043478260875</v>
      </c>
      <c r="J75" s="105"/>
    </row>
    <row r="76" spans="1:13" s="50" customFormat="1" ht="31.5" customHeight="1">
      <c r="A76" s="84"/>
      <c r="B76" s="128" t="s">
        <v>160</v>
      </c>
      <c r="C76" s="211"/>
      <c r="D76" s="15">
        <v>2</v>
      </c>
      <c r="E76" s="15">
        <f>2.4+2.4</f>
        <v>4.8</v>
      </c>
      <c r="F76" s="15">
        <f>13.6+5.2</f>
        <v>18.8</v>
      </c>
      <c r="G76" s="129">
        <f t="shared" si="8"/>
        <v>14</v>
      </c>
      <c r="H76" s="129">
        <f t="shared" si="9"/>
        <v>391.66666666666669</v>
      </c>
      <c r="M76" s="105"/>
    </row>
    <row r="77" spans="1:13" s="50" customFormat="1" ht="52.5" customHeight="1">
      <c r="A77" s="84"/>
      <c r="B77" s="128" t="s">
        <v>170</v>
      </c>
      <c r="C77" s="211"/>
      <c r="D77" s="15">
        <v>48.4</v>
      </c>
      <c r="E77" s="15">
        <v>55</v>
      </c>
      <c r="F77" s="15">
        <f>6.2+26.2</f>
        <v>32.4</v>
      </c>
      <c r="G77" s="129">
        <f t="shared" si="8"/>
        <v>-22.6</v>
      </c>
      <c r="H77" s="129">
        <f t="shared" si="9"/>
        <v>58.909090909090914</v>
      </c>
    </row>
    <row r="78" spans="1:13" s="50" customFormat="1" ht="28.5" customHeight="1">
      <c r="A78" s="84"/>
      <c r="B78" s="128" t="s">
        <v>295</v>
      </c>
      <c r="C78" s="211"/>
      <c r="D78" s="15"/>
      <c r="E78" s="15">
        <v>300</v>
      </c>
      <c r="F78" s="15">
        <v>198</v>
      </c>
      <c r="G78" s="129">
        <f t="shared" si="8"/>
        <v>-102</v>
      </c>
      <c r="H78" s="129">
        <f t="shared" si="9"/>
        <v>66</v>
      </c>
    </row>
    <row r="79" spans="1:13" s="50" customFormat="1" ht="46.5" customHeight="1">
      <c r="A79" s="84"/>
      <c r="B79" s="190" t="s">
        <v>218</v>
      </c>
      <c r="C79" s="211"/>
      <c r="D79" s="15"/>
      <c r="E79" s="15">
        <v>15</v>
      </c>
      <c r="F79" s="15">
        <f>0.9+3.7</f>
        <v>4.6000000000000005</v>
      </c>
      <c r="G79" s="129">
        <f t="shared" si="8"/>
        <v>-10.399999999999999</v>
      </c>
      <c r="H79" s="129">
        <f t="shared" si="9"/>
        <v>30.666666666666671</v>
      </c>
    </row>
    <row r="80" spans="1:13" s="50" customFormat="1" ht="28.5" customHeight="1">
      <c r="A80" s="84"/>
      <c r="B80" s="128" t="s">
        <v>204</v>
      </c>
      <c r="C80" s="211"/>
      <c r="D80" s="15">
        <v>3.1</v>
      </c>
      <c r="E80" s="15">
        <f>1.4+3</f>
        <v>4.4000000000000004</v>
      </c>
      <c r="F80" s="15">
        <f>1.1+2.7+0.5</f>
        <v>4.3000000000000007</v>
      </c>
      <c r="G80" s="129">
        <f t="shared" si="8"/>
        <v>-9.9999999999999645E-2</v>
      </c>
      <c r="H80" s="129">
        <f t="shared" si="9"/>
        <v>97.727272727272734</v>
      </c>
    </row>
    <row r="81" spans="1:11" s="50" customFormat="1" ht="27" customHeight="1">
      <c r="A81" s="84"/>
      <c r="B81" s="128" t="s">
        <v>174</v>
      </c>
      <c r="C81" s="211"/>
      <c r="D81" s="15">
        <v>28.1</v>
      </c>
      <c r="E81" s="15">
        <v>101.4</v>
      </c>
      <c r="F81" s="15">
        <f>101</f>
        <v>101</v>
      </c>
      <c r="G81" s="129">
        <f t="shared" si="8"/>
        <v>-0.40000000000000568</v>
      </c>
      <c r="H81" s="129">
        <f t="shared" si="9"/>
        <v>99.605522682445752</v>
      </c>
    </row>
    <row r="82" spans="1:11" s="50" customFormat="1" ht="28.5" customHeight="1">
      <c r="A82" s="84"/>
      <c r="B82" s="128" t="s">
        <v>175</v>
      </c>
      <c r="C82" s="211"/>
      <c r="D82" s="15">
        <v>2.5</v>
      </c>
      <c r="E82" s="15">
        <v>3.5</v>
      </c>
      <c r="F82" s="15">
        <v>3.3</v>
      </c>
      <c r="G82" s="129">
        <f t="shared" si="8"/>
        <v>-0.20000000000000018</v>
      </c>
      <c r="H82" s="129">
        <f t="shared" si="9"/>
        <v>94.285714285714278</v>
      </c>
    </row>
    <row r="83" spans="1:11" s="50" customFormat="1" ht="36" customHeight="1">
      <c r="A83" s="84"/>
      <c r="B83" s="128" t="s">
        <v>176</v>
      </c>
      <c r="C83" s="211"/>
      <c r="D83" s="15">
        <v>30.1</v>
      </c>
      <c r="E83" s="15">
        <v>83.4</v>
      </c>
      <c r="F83" s="15">
        <f>5.6+74.7</f>
        <v>80.3</v>
      </c>
      <c r="G83" s="129">
        <f t="shared" si="8"/>
        <v>-3.1000000000000085</v>
      </c>
      <c r="H83" s="129">
        <f t="shared" si="9"/>
        <v>96.28297362110311</v>
      </c>
    </row>
    <row r="84" spans="1:11" s="50" customFormat="1" ht="27" customHeight="1">
      <c r="A84" s="84"/>
      <c r="B84" s="128" t="s">
        <v>177</v>
      </c>
      <c r="C84" s="211"/>
      <c r="D84" s="15">
        <v>0.8</v>
      </c>
      <c r="E84" s="15">
        <v>1.9</v>
      </c>
      <c r="F84" s="15">
        <v>1.9</v>
      </c>
      <c r="G84" s="129">
        <f t="shared" si="8"/>
        <v>0</v>
      </c>
      <c r="H84" s="129">
        <f t="shared" si="9"/>
        <v>100</v>
      </c>
    </row>
    <row r="85" spans="1:11" s="50" customFormat="1" ht="31.5" customHeight="1">
      <c r="A85" s="84"/>
      <c r="B85" s="128" t="s">
        <v>173</v>
      </c>
      <c r="C85" s="211"/>
      <c r="D85" s="15">
        <v>2.6</v>
      </c>
      <c r="E85" s="15"/>
      <c r="F85" s="15">
        <v>3.1</v>
      </c>
      <c r="G85" s="129">
        <f t="shared" si="8"/>
        <v>3.1</v>
      </c>
      <c r="H85" s="130" t="e">
        <f t="shared" si="9"/>
        <v>#DIV/0!</v>
      </c>
    </row>
    <row r="86" spans="1:11" s="50" customFormat="1" ht="31.5" customHeight="1">
      <c r="A86" s="84"/>
      <c r="B86" s="128" t="s">
        <v>178</v>
      </c>
      <c r="C86" s="211"/>
      <c r="D86" s="15">
        <v>3.3</v>
      </c>
      <c r="E86" s="15"/>
      <c r="F86" s="15">
        <v>1</v>
      </c>
      <c r="G86" s="129">
        <f t="shared" si="8"/>
        <v>1</v>
      </c>
      <c r="H86" s="130" t="e">
        <f t="shared" si="9"/>
        <v>#DIV/0!</v>
      </c>
    </row>
    <row r="87" spans="1:11" s="50" customFormat="1" ht="31.5" customHeight="1">
      <c r="A87" s="84"/>
      <c r="B87" s="128" t="s">
        <v>413</v>
      </c>
      <c r="C87" s="211"/>
      <c r="D87" s="15"/>
      <c r="E87" s="15"/>
      <c r="F87" s="15">
        <v>3.1</v>
      </c>
      <c r="G87" s="129">
        <f t="shared" si="8"/>
        <v>3.1</v>
      </c>
      <c r="H87" s="130" t="e">
        <f t="shared" si="9"/>
        <v>#DIV/0!</v>
      </c>
    </row>
    <row r="88" spans="1:11" s="50" customFormat="1" ht="31.5" customHeight="1">
      <c r="A88" s="84"/>
      <c r="B88" s="128" t="s">
        <v>305</v>
      </c>
      <c r="C88" s="211"/>
      <c r="D88" s="15"/>
      <c r="E88" s="15"/>
      <c r="F88" s="15">
        <v>2.2999999999999998</v>
      </c>
      <c r="G88" s="129">
        <f t="shared" si="8"/>
        <v>2.2999999999999998</v>
      </c>
      <c r="H88" s="130" t="e">
        <f t="shared" si="9"/>
        <v>#DIV/0!</v>
      </c>
    </row>
    <row r="89" spans="1:11" s="50" customFormat="1" ht="31.5" customHeight="1">
      <c r="A89" s="84"/>
      <c r="B89" s="128" t="s">
        <v>367</v>
      </c>
      <c r="C89" s="211"/>
      <c r="D89" s="15">
        <v>5.7</v>
      </c>
      <c r="E89" s="15"/>
      <c r="F89" s="15"/>
      <c r="G89" s="129">
        <f t="shared" ref="G89:G91" si="10">F89-E89</f>
        <v>0</v>
      </c>
      <c r="H89" s="130" t="e">
        <f t="shared" ref="H89:H91" si="11">(F89/E89)*100</f>
        <v>#DIV/0!</v>
      </c>
    </row>
    <row r="90" spans="1:11" s="50" customFormat="1" ht="42" customHeight="1">
      <c r="A90" s="84"/>
      <c r="B90" s="190" t="s">
        <v>359</v>
      </c>
      <c r="C90" s="211"/>
      <c r="D90" s="15"/>
      <c r="E90" s="15">
        <v>25</v>
      </c>
      <c r="F90" s="15"/>
      <c r="G90" s="129">
        <f t="shared" si="10"/>
        <v>-25</v>
      </c>
      <c r="H90" s="129">
        <f t="shared" si="11"/>
        <v>0</v>
      </c>
    </row>
    <row r="91" spans="1:11" s="50" customFormat="1" ht="31.5" customHeight="1">
      <c r="A91" s="84"/>
      <c r="B91" s="128" t="s">
        <v>247</v>
      </c>
      <c r="C91" s="211"/>
      <c r="D91" s="15">
        <v>52.1</v>
      </c>
      <c r="E91" s="15"/>
      <c r="F91" s="15"/>
      <c r="G91" s="129">
        <f t="shared" si="10"/>
        <v>0</v>
      </c>
      <c r="H91" s="130" t="e">
        <f t="shared" si="11"/>
        <v>#DIV/0!</v>
      </c>
    </row>
    <row r="92" spans="1:11" s="50" customFormat="1" ht="37.5" customHeight="1">
      <c r="A92" s="227" t="s">
        <v>121</v>
      </c>
      <c r="B92" s="227"/>
      <c r="C92" s="211"/>
      <c r="D92" s="15"/>
      <c r="E92" s="14"/>
      <c r="F92" s="14"/>
      <c r="G92" s="129"/>
      <c r="H92" s="129"/>
    </row>
    <row r="93" spans="1:11" s="50" customFormat="1" ht="37.5" customHeight="1">
      <c r="A93" s="227" t="s">
        <v>93</v>
      </c>
      <c r="B93" s="227"/>
      <c r="C93" s="211">
        <v>1035</v>
      </c>
      <c r="D93" s="14">
        <f>SUM(D94:D103)</f>
        <v>75.5</v>
      </c>
      <c r="E93" s="14">
        <f>SUM(E94:E103)</f>
        <v>125.6</v>
      </c>
      <c r="F93" s="14">
        <f>SUM(F94:F103)</f>
        <v>113.8</v>
      </c>
      <c r="G93" s="129">
        <f>F93-E93</f>
        <v>-11.799999999999997</v>
      </c>
      <c r="H93" s="129">
        <f>(F93/E93)*100</f>
        <v>90.605095541401269</v>
      </c>
      <c r="J93" s="50">
        <v>1256</v>
      </c>
      <c r="K93" s="50">
        <v>113.8</v>
      </c>
    </row>
    <row r="94" spans="1:11" s="50" customFormat="1" ht="32.25" customHeight="1">
      <c r="A94" s="83"/>
      <c r="B94" s="128" t="s">
        <v>174</v>
      </c>
      <c r="C94" s="211"/>
      <c r="D94" s="15">
        <v>6.8</v>
      </c>
      <c r="E94" s="15">
        <f>4</f>
        <v>4</v>
      </c>
      <c r="F94" s="15">
        <v>5.7</v>
      </c>
      <c r="G94" s="129">
        <f>F94-E94</f>
        <v>1.7000000000000002</v>
      </c>
      <c r="H94" s="129">
        <f>(F94/E94)*100</f>
        <v>142.5</v>
      </c>
      <c r="J94" s="105"/>
    </row>
    <row r="95" spans="1:11" s="50" customFormat="1" ht="31.5" customHeight="1">
      <c r="A95" s="83"/>
      <c r="B95" s="128" t="s">
        <v>175</v>
      </c>
      <c r="C95" s="211"/>
      <c r="D95" s="15">
        <v>2.6</v>
      </c>
      <c r="E95" s="15">
        <v>4</v>
      </c>
      <c r="F95" s="15">
        <v>2.1</v>
      </c>
      <c r="G95" s="129">
        <f>F95-E95</f>
        <v>-1.9</v>
      </c>
      <c r="H95" s="129">
        <f>(F95/E95)*100</f>
        <v>52.5</v>
      </c>
      <c r="K95" s="105"/>
    </row>
    <row r="96" spans="1:11" s="50" customFormat="1" ht="30" customHeight="1">
      <c r="A96" s="83"/>
      <c r="B96" s="128" t="s">
        <v>176</v>
      </c>
      <c r="C96" s="211"/>
      <c r="D96" s="15">
        <v>38.5</v>
      </c>
      <c r="E96" s="15">
        <v>40</v>
      </c>
      <c r="F96" s="15">
        <v>40.5</v>
      </c>
      <c r="G96" s="129">
        <f>F96-E96</f>
        <v>0.5</v>
      </c>
      <c r="H96" s="129">
        <f>(F96/E96)*100</f>
        <v>101.25</v>
      </c>
    </row>
    <row r="97" spans="1:9" s="50" customFormat="1" ht="28.5" customHeight="1">
      <c r="A97" s="83"/>
      <c r="B97" s="128" t="s">
        <v>172</v>
      </c>
      <c r="C97" s="211"/>
      <c r="D97" s="15">
        <v>12.4</v>
      </c>
      <c r="E97" s="15"/>
      <c r="F97" s="15"/>
      <c r="G97" s="129">
        <f>F97-E97</f>
        <v>0</v>
      </c>
      <c r="H97" s="130" t="e">
        <f>(F97/E97)*100</f>
        <v>#DIV/0!</v>
      </c>
    </row>
    <row r="98" spans="1:9" s="50" customFormat="1" ht="30" customHeight="1">
      <c r="A98" s="83"/>
      <c r="B98" s="128" t="s">
        <v>306</v>
      </c>
      <c r="C98" s="211"/>
      <c r="D98" s="15"/>
      <c r="E98" s="15">
        <v>4</v>
      </c>
      <c r="F98" s="15">
        <v>11.5</v>
      </c>
      <c r="G98" s="129">
        <f t="shared" ref="G98:G103" si="12">F98-E98</f>
        <v>7.5</v>
      </c>
      <c r="H98" s="129">
        <f t="shared" ref="H98:H103" si="13">(F98/E98)*100</f>
        <v>287.5</v>
      </c>
    </row>
    <row r="99" spans="1:9" s="50" customFormat="1" ht="32.25" customHeight="1">
      <c r="A99" s="83"/>
      <c r="B99" s="128" t="s">
        <v>342</v>
      </c>
      <c r="C99" s="211"/>
      <c r="D99" s="15"/>
      <c r="E99" s="15">
        <v>6</v>
      </c>
      <c r="F99" s="15"/>
      <c r="G99" s="129">
        <f t="shared" si="12"/>
        <v>-6</v>
      </c>
      <c r="H99" s="129">
        <f t="shared" si="13"/>
        <v>0</v>
      </c>
    </row>
    <row r="100" spans="1:9" s="50" customFormat="1" ht="31.5" customHeight="1">
      <c r="A100" s="83"/>
      <c r="B100" s="128" t="s">
        <v>235</v>
      </c>
      <c r="C100" s="211"/>
      <c r="D100" s="15">
        <v>14.8</v>
      </c>
      <c r="E100" s="15"/>
      <c r="F100" s="15"/>
      <c r="G100" s="129">
        <f t="shared" si="12"/>
        <v>0</v>
      </c>
      <c r="H100" s="130" t="e">
        <f t="shared" si="13"/>
        <v>#DIV/0!</v>
      </c>
    </row>
    <row r="101" spans="1:9" s="50" customFormat="1" ht="31.5" customHeight="1">
      <c r="A101" s="83"/>
      <c r="B101" s="128" t="s">
        <v>368</v>
      </c>
      <c r="C101" s="211"/>
      <c r="D101" s="15">
        <v>0.4</v>
      </c>
      <c r="E101" s="15">
        <v>17.600000000000001</v>
      </c>
      <c r="F101" s="15">
        <v>0.6</v>
      </c>
      <c r="G101" s="129"/>
      <c r="H101" s="129"/>
    </row>
    <row r="102" spans="1:9" s="50" customFormat="1" ht="31.5" customHeight="1">
      <c r="A102" s="83"/>
      <c r="B102" s="128" t="s">
        <v>219</v>
      </c>
      <c r="C102" s="211"/>
      <c r="D102" s="15"/>
      <c r="E102" s="15">
        <v>50</v>
      </c>
      <c r="F102" s="15"/>
      <c r="G102" s="129">
        <f t="shared" si="12"/>
        <v>-50</v>
      </c>
      <c r="H102" s="129">
        <f t="shared" si="13"/>
        <v>0</v>
      </c>
    </row>
    <row r="103" spans="1:9" s="50" customFormat="1" ht="31.5" customHeight="1">
      <c r="A103" s="83"/>
      <c r="B103" s="128" t="s">
        <v>220</v>
      </c>
      <c r="C103" s="211"/>
      <c r="D103" s="15"/>
      <c r="E103" s="15"/>
      <c r="F103" s="15">
        <v>53.4</v>
      </c>
      <c r="G103" s="129">
        <f t="shared" si="12"/>
        <v>53.4</v>
      </c>
      <c r="H103" s="130" t="e">
        <f t="shared" si="13"/>
        <v>#DIV/0!</v>
      </c>
    </row>
    <row r="104" spans="1:9">
      <c r="B104" s="48"/>
      <c r="D104" s="86"/>
      <c r="E104" s="49"/>
      <c r="F104" s="49"/>
    </row>
    <row r="105" spans="1:9" ht="24.75" customHeight="1">
      <c r="B105" s="213" t="s">
        <v>252</v>
      </c>
      <c r="C105" s="16"/>
      <c r="D105" s="231"/>
      <c r="E105" s="231"/>
      <c r="F105" s="228" t="s">
        <v>205</v>
      </c>
      <c r="G105" s="228"/>
      <c r="H105" s="228"/>
      <c r="I105" s="47"/>
    </row>
    <row r="106" spans="1:9">
      <c r="B106" s="81" t="s">
        <v>60</v>
      </c>
      <c r="C106" s="17"/>
      <c r="D106" s="232" t="s">
        <v>66</v>
      </c>
      <c r="E106" s="232"/>
      <c r="F106" s="229" t="s">
        <v>17</v>
      </c>
      <c r="G106" s="229"/>
      <c r="H106" s="229"/>
    </row>
    <row r="107" spans="1:9">
      <c r="B107" s="48"/>
      <c r="D107" s="86"/>
      <c r="E107" s="49"/>
      <c r="F107" s="49"/>
    </row>
    <row r="108" spans="1:9">
      <c r="B108" s="48"/>
      <c r="D108" s="86"/>
      <c r="E108" s="49"/>
      <c r="F108" s="49"/>
    </row>
    <row r="109" spans="1:9">
      <c r="B109" s="48"/>
      <c r="D109" s="86"/>
      <c r="E109" s="49"/>
      <c r="F109" s="49"/>
    </row>
    <row r="110" spans="1:9">
      <c r="B110" s="48"/>
      <c r="D110" s="86"/>
      <c r="E110" s="49"/>
      <c r="F110" s="49"/>
    </row>
    <row r="111" spans="1:9">
      <c r="B111" s="48"/>
      <c r="D111" s="86"/>
      <c r="E111" s="49"/>
      <c r="F111" s="49"/>
    </row>
    <row r="112" spans="1:9">
      <c r="B112" s="48"/>
      <c r="D112" s="86"/>
      <c r="E112" s="49"/>
      <c r="F112" s="49"/>
    </row>
    <row r="113" spans="2:6">
      <c r="B113" s="48"/>
      <c r="D113" s="86"/>
      <c r="E113" s="49"/>
      <c r="F113" s="49"/>
    </row>
    <row r="114" spans="2:6">
      <c r="B114" s="48"/>
      <c r="D114" s="86"/>
      <c r="E114" s="49"/>
      <c r="F114" s="49"/>
    </row>
    <row r="115" spans="2:6">
      <c r="B115" s="48"/>
      <c r="D115" s="86"/>
      <c r="E115" s="49"/>
      <c r="F115" s="49"/>
    </row>
    <row r="116" spans="2:6">
      <c r="B116" s="48"/>
      <c r="D116" s="86"/>
      <c r="E116" s="49"/>
      <c r="F116" s="49"/>
    </row>
    <row r="117" spans="2:6">
      <c r="B117" s="48"/>
      <c r="D117" s="86"/>
      <c r="E117" s="49"/>
      <c r="F117" s="49"/>
    </row>
    <row r="118" spans="2:6">
      <c r="B118" s="48"/>
      <c r="D118" s="86"/>
      <c r="E118" s="49"/>
      <c r="F118" s="49"/>
    </row>
    <row r="119" spans="2:6">
      <c r="B119" s="48"/>
      <c r="D119" s="86"/>
      <c r="E119" s="49"/>
      <c r="F119" s="49"/>
    </row>
    <row r="120" spans="2:6">
      <c r="B120" s="48"/>
      <c r="D120" s="86"/>
      <c r="E120" s="49"/>
      <c r="F120" s="49"/>
    </row>
    <row r="121" spans="2:6">
      <c r="B121" s="48"/>
      <c r="D121" s="86"/>
      <c r="E121" s="49"/>
      <c r="F121" s="49"/>
    </row>
    <row r="122" spans="2:6">
      <c r="B122" s="48"/>
      <c r="D122" s="86"/>
      <c r="E122" s="49"/>
      <c r="F122" s="49"/>
    </row>
    <row r="123" spans="2:6">
      <c r="B123" s="48"/>
      <c r="D123" s="86"/>
      <c r="E123" s="49"/>
      <c r="F123" s="49"/>
    </row>
    <row r="124" spans="2:6">
      <c r="B124" s="48"/>
      <c r="D124" s="86"/>
      <c r="E124" s="49"/>
      <c r="F124" s="49"/>
    </row>
    <row r="125" spans="2:6">
      <c r="B125" s="48"/>
      <c r="D125" s="86"/>
      <c r="E125" s="49"/>
      <c r="F125" s="49"/>
    </row>
    <row r="126" spans="2:6">
      <c r="B126" s="48"/>
      <c r="D126" s="86"/>
      <c r="E126" s="49"/>
      <c r="F126" s="49"/>
    </row>
    <row r="127" spans="2:6">
      <c r="B127" s="48"/>
      <c r="D127" s="86"/>
      <c r="E127" s="49"/>
      <c r="F127" s="49"/>
    </row>
    <row r="128" spans="2:6">
      <c r="B128" s="48"/>
      <c r="D128" s="86"/>
      <c r="E128" s="49"/>
      <c r="F128" s="49"/>
    </row>
    <row r="129" spans="2:6">
      <c r="B129" s="48"/>
      <c r="D129" s="86"/>
      <c r="E129" s="49"/>
      <c r="F129" s="49"/>
    </row>
    <row r="130" spans="2:6">
      <c r="B130" s="48"/>
      <c r="D130" s="86"/>
      <c r="E130" s="49"/>
      <c r="F130" s="49"/>
    </row>
    <row r="131" spans="2:6">
      <c r="B131" s="48"/>
      <c r="D131" s="86"/>
      <c r="E131" s="49"/>
      <c r="F131" s="49"/>
    </row>
    <row r="132" spans="2:6">
      <c r="B132" s="48"/>
      <c r="D132" s="86"/>
      <c r="E132" s="49"/>
      <c r="F132" s="49"/>
    </row>
    <row r="133" spans="2:6">
      <c r="B133" s="48"/>
      <c r="D133" s="86"/>
      <c r="E133" s="49"/>
      <c r="F133" s="49"/>
    </row>
    <row r="134" spans="2:6">
      <c r="B134" s="48"/>
      <c r="D134" s="86"/>
      <c r="E134" s="49"/>
      <c r="F134" s="49"/>
    </row>
    <row r="135" spans="2:6">
      <c r="B135" s="48"/>
      <c r="D135" s="86"/>
      <c r="E135" s="49"/>
      <c r="F135" s="49"/>
    </row>
    <row r="136" spans="2:6">
      <c r="B136" s="48"/>
      <c r="D136" s="86"/>
      <c r="E136" s="49"/>
      <c r="F136" s="49"/>
    </row>
    <row r="137" spans="2:6">
      <c r="B137" s="48"/>
      <c r="D137" s="86"/>
      <c r="E137" s="49"/>
      <c r="F137" s="49"/>
    </row>
    <row r="138" spans="2:6">
      <c r="B138" s="48"/>
      <c r="D138" s="86"/>
      <c r="E138" s="49"/>
      <c r="F138" s="49"/>
    </row>
    <row r="139" spans="2:6">
      <c r="B139" s="48"/>
      <c r="D139" s="86"/>
      <c r="E139" s="49"/>
      <c r="F139" s="49"/>
    </row>
    <row r="140" spans="2:6">
      <c r="B140" s="48"/>
      <c r="D140" s="86"/>
      <c r="E140" s="49"/>
      <c r="F140" s="49"/>
    </row>
    <row r="141" spans="2:6">
      <c r="B141" s="48"/>
      <c r="D141" s="86"/>
      <c r="E141" s="49"/>
      <c r="F141" s="49"/>
    </row>
    <row r="142" spans="2:6">
      <c r="B142" s="48"/>
      <c r="D142" s="86"/>
      <c r="E142" s="49"/>
      <c r="F142" s="49"/>
    </row>
    <row r="143" spans="2:6">
      <c r="B143" s="48"/>
      <c r="D143" s="86"/>
      <c r="E143" s="49"/>
      <c r="F143" s="49"/>
    </row>
    <row r="144" spans="2:6">
      <c r="B144" s="48"/>
      <c r="D144" s="86"/>
      <c r="E144" s="49"/>
      <c r="F144" s="49"/>
    </row>
    <row r="145" spans="2:6">
      <c r="B145" s="48"/>
      <c r="D145" s="86"/>
      <c r="E145" s="49"/>
      <c r="F145" s="49"/>
    </row>
    <row r="146" spans="2:6">
      <c r="B146" s="48"/>
      <c r="D146" s="86"/>
      <c r="E146" s="49"/>
      <c r="F146" s="49"/>
    </row>
    <row r="147" spans="2:6">
      <c r="B147" s="48"/>
      <c r="D147" s="86"/>
      <c r="E147" s="49"/>
      <c r="F147" s="49"/>
    </row>
    <row r="148" spans="2:6">
      <c r="B148" s="48"/>
      <c r="D148" s="86"/>
      <c r="E148" s="49"/>
      <c r="F148" s="49"/>
    </row>
    <row r="149" spans="2:6">
      <c r="B149" s="48"/>
      <c r="D149" s="86"/>
      <c r="E149" s="49"/>
      <c r="F149" s="49"/>
    </row>
    <row r="150" spans="2:6">
      <c r="B150" s="48"/>
      <c r="D150" s="86"/>
      <c r="E150" s="49"/>
      <c r="F150" s="49"/>
    </row>
    <row r="151" spans="2:6">
      <c r="B151" s="48"/>
      <c r="D151" s="86"/>
      <c r="E151" s="49"/>
      <c r="F151" s="49"/>
    </row>
    <row r="152" spans="2:6">
      <c r="B152" s="48"/>
      <c r="D152" s="86"/>
      <c r="E152" s="49"/>
      <c r="F152" s="49"/>
    </row>
    <row r="153" spans="2:6">
      <c r="B153" s="48"/>
      <c r="D153" s="86"/>
      <c r="E153" s="49"/>
      <c r="F153" s="49"/>
    </row>
    <row r="154" spans="2:6">
      <c r="B154" s="48"/>
      <c r="D154" s="86"/>
      <c r="E154" s="49"/>
      <c r="F154" s="49"/>
    </row>
    <row r="155" spans="2:6">
      <c r="B155" s="48"/>
      <c r="D155" s="86"/>
      <c r="E155" s="49"/>
      <c r="F155" s="49"/>
    </row>
    <row r="156" spans="2:6">
      <c r="B156" s="48"/>
      <c r="D156" s="86"/>
      <c r="E156" s="49"/>
      <c r="F156" s="49"/>
    </row>
    <row r="157" spans="2:6">
      <c r="B157" s="48"/>
      <c r="D157" s="86"/>
      <c r="E157" s="49"/>
      <c r="F157" s="49"/>
    </row>
    <row r="158" spans="2:6">
      <c r="B158" s="48"/>
      <c r="D158" s="86"/>
      <c r="E158" s="49"/>
      <c r="F158" s="49"/>
    </row>
    <row r="159" spans="2:6">
      <c r="B159" s="48"/>
      <c r="D159" s="86"/>
      <c r="E159" s="49"/>
      <c r="F159" s="49"/>
    </row>
    <row r="160" spans="2:6">
      <c r="B160" s="48"/>
      <c r="D160" s="86"/>
      <c r="E160" s="49"/>
      <c r="F160" s="49"/>
    </row>
    <row r="161" spans="2:2">
      <c r="B161" s="48"/>
    </row>
    <row r="162" spans="2:2">
      <c r="B162" s="54"/>
    </row>
    <row r="163" spans="2:2">
      <c r="B163" s="54"/>
    </row>
    <row r="164" spans="2:2">
      <c r="B164" s="54"/>
    </row>
    <row r="165" spans="2:2">
      <c r="B165" s="54"/>
    </row>
    <row r="166" spans="2:2">
      <c r="B166" s="54"/>
    </row>
    <row r="167" spans="2:2">
      <c r="B167" s="54"/>
    </row>
    <row r="168" spans="2:2">
      <c r="B168" s="54"/>
    </row>
    <row r="169" spans="2:2">
      <c r="B169" s="54"/>
    </row>
    <row r="170" spans="2:2">
      <c r="B170" s="54"/>
    </row>
    <row r="171" spans="2:2">
      <c r="B171" s="54"/>
    </row>
    <row r="172" spans="2:2">
      <c r="B172" s="54"/>
    </row>
    <row r="173" spans="2:2">
      <c r="B173" s="54"/>
    </row>
    <row r="174" spans="2:2">
      <c r="B174" s="54"/>
    </row>
    <row r="175" spans="2:2">
      <c r="B175" s="54"/>
    </row>
    <row r="176" spans="2:2">
      <c r="B176" s="54"/>
    </row>
    <row r="177" spans="2:2">
      <c r="B177" s="54"/>
    </row>
    <row r="178" spans="2:2">
      <c r="B178" s="54"/>
    </row>
    <row r="179" spans="2:2">
      <c r="B179" s="54"/>
    </row>
    <row r="180" spans="2:2">
      <c r="B180" s="54"/>
    </row>
    <row r="181" spans="2:2">
      <c r="B181" s="54"/>
    </row>
    <row r="182" spans="2:2">
      <c r="B182" s="54"/>
    </row>
    <row r="183" spans="2:2">
      <c r="B183" s="54"/>
    </row>
    <row r="184" spans="2:2">
      <c r="B184" s="54"/>
    </row>
    <row r="185" spans="2:2">
      <c r="B185" s="54"/>
    </row>
    <row r="186" spans="2:2">
      <c r="B186" s="54"/>
    </row>
    <row r="187" spans="2:2">
      <c r="B187" s="54"/>
    </row>
    <row r="188" spans="2:2">
      <c r="B188" s="54"/>
    </row>
    <row r="189" spans="2:2">
      <c r="B189" s="54"/>
    </row>
    <row r="190" spans="2:2">
      <c r="B190" s="54"/>
    </row>
    <row r="191" spans="2:2">
      <c r="B191" s="54"/>
    </row>
    <row r="192" spans="2:2">
      <c r="B192" s="54"/>
    </row>
    <row r="193" spans="2:2">
      <c r="B193" s="54"/>
    </row>
    <row r="194" spans="2:2">
      <c r="B194" s="54"/>
    </row>
    <row r="195" spans="2:2">
      <c r="B195" s="54"/>
    </row>
    <row r="196" spans="2:2">
      <c r="B196" s="54"/>
    </row>
    <row r="197" spans="2:2">
      <c r="B197" s="54"/>
    </row>
    <row r="198" spans="2:2">
      <c r="B198" s="54"/>
    </row>
    <row r="199" spans="2:2">
      <c r="B199" s="54"/>
    </row>
    <row r="200" spans="2:2">
      <c r="B200" s="54"/>
    </row>
    <row r="201" spans="2:2">
      <c r="B201" s="54"/>
    </row>
    <row r="202" spans="2:2">
      <c r="B202" s="54"/>
    </row>
    <row r="203" spans="2:2">
      <c r="B203" s="54"/>
    </row>
    <row r="204" spans="2:2">
      <c r="B204" s="54"/>
    </row>
    <row r="205" spans="2:2">
      <c r="B205" s="54"/>
    </row>
    <row r="206" spans="2:2">
      <c r="B206" s="54"/>
    </row>
    <row r="207" spans="2:2">
      <c r="B207" s="54"/>
    </row>
    <row r="208" spans="2:2">
      <c r="B208" s="54"/>
    </row>
    <row r="209" spans="2:2">
      <c r="B209" s="54"/>
    </row>
    <row r="210" spans="2:2">
      <c r="B210" s="54"/>
    </row>
    <row r="211" spans="2:2">
      <c r="B211" s="54"/>
    </row>
    <row r="212" spans="2:2">
      <c r="B212" s="54"/>
    </row>
    <row r="213" spans="2:2">
      <c r="B213" s="54"/>
    </row>
    <row r="214" spans="2:2">
      <c r="B214" s="54"/>
    </row>
    <row r="215" spans="2:2">
      <c r="B215" s="54"/>
    </row>
    <row r="216" spans="2:2">
      <c r="B216" s="54"/>
    </row>
    <row r="217" spans="2:2">
      <c r="B217" s="54"/>
    </row>
    <row r="218" spans="2:2">
      <c r="B218" s="54"/>
    </row>
    <row r="219" spans="2:2">
      <c r="B219" s="54"/>
    </row>
    <row r="220" spans="2:2">
      <c r="B220" s="54"/>
    </row>
    <row r="221" spans="2:2">
      <c r="B221" s="54"/>
    </row>
    <row r="222" spans="2:2">
      <c r="B222" s="54"/>
    </row>
    <row r="223" spans="2:2">
      <c r="B223" s="54"/>
    </row>
    <row r="224" spans="2:2">
      <c r="B224" s="54"/>
    </row>
    <row r="225" spans="2:2">
      <c r="B225" s="54"/>
    </row>
    <row r="226" spans="2:2">
      <c r="B226" s="54"/>
    </row>
    <row r="227" spans="2:2">
      <c r="B227" s="54"/>
    </row>
    <row r="228" spans="2:2">
      <c r="B228" s="54"/>
    </row>
    <row r="229" spans="2:2">
      <c r="B229" s="54"/>
    </row>
    <row r="230" spans="2:2">
      <c r="B230" s="54"/>
    </row>
    <row r="231" spans="2:2">
      <c r="B231" s="54"/>
    </row>
    <row r="232" spans="2:2">
      <c r="B232" s="54"/>
    </row>
    <row r="233" spans="2:2">
      <c r="B233" s="54"/>
    </row>
    <row r="234" spans="2:2">
      <c r="B234" s="54"/>
    </row>
    <row r="235" spans="2:2">
      <c r="B235" s="54"/>
    </row>
    <row r="236" spans="2:2">
      <c r="B236" s="54"/>
    </row>
    <row r="237" spans="2:2">
      <c r="B237" s="54"/>
    </row>
    <row r="238" spans="2:2">
      <c r="B238" s="54"/>
    </row>
    <row r="239" spans="2:2">
      <c r="B239" s="54"/>
    </row>
    <row r="240" spans="2:2">
      <c r="B240" s="54"/>
    </row>
    <row r="241" spans="2:2">
      <c r="B241" s="54"/>
    </row>
    <row r="242" spans="2:2">
      <c r="B242" s="54"/>
    </row>
    <row r="243" spans="2:2">
      <c r="B243" s="54"/>
    </row>
    <row r="244" spans="2:2">
      <c r="B244" s="54"/>
    </row>
    <row r="245" spans="2:2">
      <c r="B245" s="54"/>
    </row>
    <row r="246" spans="2:2">
      <c r="B246" s="54"/>
    </row>
    <row r="247" spans="2:2">
      <c r="B247" s="54"/>
    </row>
    <row r="248" spans="2:2">
      <c r="B248" s="54"/>
    </row>
    <row r="249" spans="2:2">
      <c r="B249" s="54"/>
    </row>
    <row r="250" spans="2:2">
      <c r="B250" s="54"/>
    </row>
    <row r="251" spans="2:2">
      <c r="B251" s="54"/>
    </row>
    <row r="252" spans="2:2">
      <c r="B252" s="54"/>
    </row>
    <row r="253" spans="2:2">
      <c r="B253" s="54"/>
    </row>
    <row r="254" spans="2:2">
      <c r="B254" s="54"/>
    </row>
    <row r="255" spans="2:2">
      <c r="B255" s="54"/>
    </row>
    <row r="256" spans="2:2">
      <c r="B256" s="54"/>
    </row>
    <row r="257" spans="2:2">
      <c r="B257" s="54"/>
    </row>
    <row r="258" spans="2:2">
      <c r="B258" s="54"/>
    </row>
    <row r="259" spans="2:2">
      <c r="B259" s="54"/>
    </row>
    <row r="260" spans="2:2">
      <c r="B260" s="54"/>
    </row>
    <row r="261" spans="2:2">
      <c r="B261" s="54"/>
    </row>
    <row r="262" spans="2:2">
      <c r="B262" s="54"/>
    </row>
    <row r="263" spans="2:2">
      <c r="B263" s="54"/>
    </row>
    <row r="264" spans="2:2">
      <c r="B264" s="54"/>
    </row>
    <row r="265" spans="2:2">
      <c r="B265" s="54"/>
    </row>
    <row r="266" spans="2:2">
      <c r="B266" s="54"/>
    </row>
    <row r="267" spans="2:2">
      <c r="B267" s="54"/>
    </row>
    <row r="268" spans="2:2">
      <c r="B268" s="54"/>
    </row>
    <row r="269" spans="2:2">
      <c r="B269" s="54"/>
    </row>
    <row r="270" spans="2:2">
      <c r="B270" s="54"/>
    </row>
    <row r="271" spans="2:2">
      <c r="B271" s="54"/>
    </row>
    <row r="272" spans="2:2">
      <c r="B272" s="54"/>
    </row>
    <row r="273" spans="2:2">
      <c r="B273" s="54"/>
    </row>
    <row r="274" spans="2:2">
      <c r="B274" s="54"/>
    </row>
    <row r="275" spans="2:2">
      <c r="B275" s="54"/>
    </row>
    <row r="276" spans="2:2">
      <c r="B276" s="54"/>
    </row>
    <row r="277" spans="2:2">
      <c r="B277" s="54"/>
    </row>
    <row r="278" spans="2:2">
      <c r="B278" s="54"/>
    </row>
    <row r="279" spans="2:2">
      <c r="B279" s="54"/>
    </row>
    <row r="280" spans="2:2">
      <c r="B280" s="54"/>
    </row>
    <row r="281" spans="2:2">
      <c r="B281" s="54"/>
    </row>
    <row r="282" spans="2:2">
      <c r="B282" s="54"/>
    </row>
    <row r="283" spans="2:2">
      <c r="B283" s="54"/>
    </row>
    <row r="284" spans="2:2">
      <c r="B284" s="54"/>
    </row>
    <row r="285" spans="2:2">
      <c r="B285" s="54"/>
    </row>
    <row r="286" spans="2:2">
      <c r="B286" s="54"/>
    </row>
    <row r="287" spans="2:2">
      <c r="B287" s="54"/>
    </row>
    <row r="288" spans="2:2">
      <c r="B288" s="54"/>
    </row>
    <row r="289" spans="2:2">
      <c r="B289" s="54"/>
    </row>
    <row r="290" spans="2:2">
      <c r="B290" s="54"/>
    </row>
    <row r="291" spans="2:2">
      <c r="B291" s="54"/>
    </row>
    <row r="292" spans="2:2">
      <c r="B292" s="54"/>
    </row>
    <row r="293" spans="2:2">
      <c r="B293" s="54"/>
    </row>
    <row r="294" spans="2:2">
      <c r="B294" s="54"/>
    </row>
    <row r="295" spans="2:2">
      <c r="B295" s="54"/>
    </row>
    <row r="296" spans="2:2">
      <c r="B296" s="54"/>
    </row>
    <row r="297" spans="2:2">
      <c r="B297" s="54"/>
    </row>
    <row r="298" spans="2:2">
      <c r="B298" s="54"/>
    </row>
    <row r="299" spans="2:2">
      <c r="B299" s="54"/>
    </row>
    <row r="300" spans="2:2">
      <c r="B300" s="54"/>
    </row>
    <row r="301" spans="2:2">
      <c r="B301" s="54"/>
    </row>
    <row r="302" spans="2:2">
      <c r="B302" s="54"/>
    </row>
    <row r="303" spans="2:2">
      <c r="B303" s="54"/>
    </row>
    <row r="304" spans="2:2">
      <c r="B304" s="54"/>
    </row>
    <row r="305" spans="2:2">
      <c r="B305" s="54"/>
    </row>
    <row r="306" spans="2:2">
      <c r="B306" s="54"/>
    </row>
    <row r="307" spans="2:2">
      <c r="B307" s="54"/>
    </row>
    <row r="308" spans="2:2">
      <c r="B308" s="54"/>
    </row>
    <row r="309" spans="2:2">
      <c r="B309" s="54"/>
    </row>
    <row r="310" spans="2:2">
      <c r="B310" s="54"/>
    </row>
    <row r="311" spans="2:2">
      <c r="B311" s="54"/>
    </row>
    <row r="312" spans="2:2">
      <c r="B312" s="54"/>
    </row>
    <row r="313" spans="2:2">
      <c r="B313" s="54"/>
    </row>
    <row r="314" spans="2:2">
      <c r="B314" s="54"/>
    </row>
    <row r="315" spans="2:2">
      <c r="B315" s="54"/>
    </row>
    <row r="316" spans="2:2">
      <c r="B316" s="54"/>
    </row>
    <row r="317" spans="2:2">
      <c r="B317" s="54"/>
    </row>
    <row r="318" spans="2:2">
      <c r="B318" s="54"/>
    </row>
    <row r="319" spans="2:2">
      <c r="B319" s="54"/>
    </row>
    <row r="320" spans="2:2">
      <c r="B320" s="54"/>
    </row>
    <row r="321" spans="2:2">
      <c r="B321" s="54"/>
    </row>
    <row r="322" spans="2:2">
      <c r="B322" s="54"/>
    </row>
    <row r="323" spans="2:2">
      <c r="B323" s="54"/>
    </row>
    <row r="324" spans="2:2">
      <c r="B324" s="54"/>
    </row>
    <row r="325" spans="2:2">
      <c r="B325" s="54"/>
    </row>
    <row r="326" spans="2:2">
      <c r="B326" s="54"/>
    </row>
    <row r="327" spans="2:2">
      <c r="B327" s="54"/>
    </row>
    <row r="328" spans="2:2">
      <c r="B328" s="54"/>
    </row>
  </sheetData>
  <mergeCells count="19">
    <mergeCell ref="A13:B13"/>
    <mergeCell ref="A22:B22"/>
    <mergeCell ref="A20:B20"/>
    <mergeCell ref="A93:B93"/>
    <mergeCell ref="A92:B92"/>
    <mergeCell ref="F105:H105"/>
    <mergeCell ref="F106:H106"/>
    <mergeCell ref="B2:F2"/>
    <mergeCell ref="D105:E105"/>
    <mergeCell ref="D106:E106"/>
    <mergeCell ref="A28:B28"/>
    <mergeCell ref="A29:B29"/>
    <mergeCell ref="A30:B30"/>
    <mergeCell ref="A43:B43"/>
    <mergeCell ref="A69:B69"/>
    <mergeCell ref="A70:B70"/>
    <mergeCell ref="A74:B74"/>
    <mergeCell ref="A6:B6"/>
    <mergeCell ref="A7:B7"/>
  </mergeCells>
  <pageMargins left="0.39370078740157483" right="0.39370078740157483" top="0.78740157480314965" bottom="0.39370078740157483" header="0.31496062992125984" footer="0.31496062992125984"/>
  <pageSetup paperSize="9" scale="75" orientation="landscape" r:id="rId1"/>
  <rowBreaks count="3" manualBreakCount="3">
    <brk id="16" max="7" man="1"/>
    <brk id="31" max="7" man="1"/>
    <brk id="6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R547"/>
  <sheetViews>
    <sheetView tabSelected="1" view="pageBreakPreview" topLeftCell="A10" zoomScale="60" zoomScaleNormal="70" workbookViewId="0">
      <selection activeCell="P20" sqref="P20"/>
    </sheetView>
  </sheetViews>
  <sheetFormatPr defaultRowHeight="18.75"/>
  <cols>
    <col min="1" max="1" width="10" style="17" customWidth="1"/>
    <col min="2" max="2" width="106.140625" style="17" customWidth="1"/>
    <col min="3" max="3" width="14.140625" style="81" customWidth="1"/>
    <col min="4" max="4" width="16.5703125" style="81" customWidth="1"/>
    <col min="5" max="5" width="17.42578125" style="81" customWidth="1"/>
    <col min="6" max="6" width="18.140625" style="81" customWidth="1"/>
    <col min="7" max="7" width="18.28515625" style="17" customWidth="1"/>
    <col min="8" max="8" width="17.7109375" style="17" customWidth="1"/>
    <col min="9" max="9" width="15.85546875" style="17" bestFit="1" customWidth="1"/>
    <col min="10" max="10" width="19" style="50" customWidth="1"/>
    <col min="11" max="11" width="22" style="50" customWidth="1"/>
    <col min="12" max="12" width="19.7109375" style="17" customWidth="1"/>
    <col min="13" max="13" width="20.140625" style="17" customWidth="1"/>
    <col min="14" max="14" width="18.5703125" style="17" customWidth="1"/>
    <col min="15" max="15" width="16.28515625" style="81" customWidth="1"/>
    <col min="16" max="16" width="15.85546875" style="81" bestFit="1" customWidth="1"/>
    <col min="17" max="17" width="19.140625" style="81" customWidth="1"/>
    <col min="18" max="18" width="13.28515625" style="17" bestFit="1" customWidth="1"/>
    <col min="19" max="16384" width="9.140625" style="17"/>
  </cols>
  <sheetData>
    <row r="2" spans="1:18" ht="22.5" customHeight="1">
      <c r="B2" s="237" t="s">
        <v>119</v>
      </c>
      <c r="C2" s="237"/>
      <c r="D2" s="237"/>
      <c r="E2" s="237"/>
      <c r="F2" s="237"/>
      <c r="G2" s="237"/>
      <c r="H2" s="237"/>
    </row>
    <row r="3" spans="1:18">
      <c r="B3" s="85"/>
      <c r="C3" s="52"/>
      <c r="D3" s="85"/>
      <c r="E3" s="85"/>
      <c r="F3" s="85"/>
      <c r="H3" s="17" t="s">
        <v>65</v>
      </c>
    </row>
    <row r="4" spans="1:18" ht="98.25" customHeight="1">
      <c r="A4" s="53" t="s">
        <v>76</v>
      </c>
      <c r="B4" s="53" t="s">
        <v>23</v>
      </c>
      <c r="C4" s="45" t="s">
        <v>5</v>
      </c>
      <c r="D4" s="45" t="s">
        <v>354</v>
      </c>
      <c r="E4" s="45" t="s">
        <v>355</v>
      </c>
      <c r="F4" s="45" t="s">
        <v>267</v>
      </c>
      <c r="G4" s="45" t="s">
        <v>110</v>
      </c>
      <c r="H4" s="45" t="s">
        <v>113</v>
      </c>
      <c r="N4" s="158"/>
      <c r="O4" s="18"/>
      <c r="P4" s="18"/>
      <c r="Q4" s="18"/>
    </row>
    <row r="5" spans="1:18" ht="30.75" customHeight="1">
      <c r="A5" s="159">
        <v>1</v>
      </c>
      <c r="B5" s="53">
        <v>2</v>
      </c>
      <c r="C5" s="45">
        <v>3</v>
      </c>
      <c r="D5" s="45">
        <v>4</v>
      </c>
      <c r="E5" s="45">
        <v>5</v>
      </c>
      <c r="F5" s="45">
        <v>6</v>
      </c>
      <c r="G5" s="53">
        <v>7</v>
      </c>
      <c r="H5" s="53">
        <v>8</v>
      </c>
      <c r="K5" s="160"/>
      <c r="M5" s="158"/>
      <c r="O5" s="161"/>
      <c r="P5" s="161"/>
      <c r="Q5" s="161"/>
    </row>
    <row r="6" spans="1:18" ht="30.75" customHeight="1">
      <c r="A6" s="233" t="s">
        <v>84</v>
      </c>
      <c r="B6" s="233"/>
      <c r="C6" s="84"/>
      <c r="D6" s="162">
        <f>SUM(D7,D48,D55,D60,D115,D127,D163,D177,D190,D215,D225,D232,D239,D248,D253,D268,D273,D316)</f>
        <v>56252.100000000013</v>
      </c>
      <c r="E6" s="162">
        <f>SUM(E7,E48,E55,E60,E115,E127,E163,E177,E190,E215,E225,E239,E248,E253,E268,E273,E316)</f>
        <v>72820.7</v>
      </c>
      <c r="F6" s="162">
        <f>SUM(F7,F48,F55,F60,F115,F127,F163,F177,F190,F215,F225,F239,F248,F253,F268,F273,F316,F232,)</f>
        <v>62452.799999999988</v>
      </c>
      <c r="G6" s="53"/>
      <c r="H6" s="53"/>
      <c r="I6" s="163"/>
      <c r="J6" s="105"/>
      <c r="N6" s="50"/>
      <c r="O6" s="164"/>
      <c r="P6" s="164"/>
      <c r="Q6" s="164"/>
    </row>
    <row r="7" spans="1:18" ht="39.75" customHeight="1">
      <c r="A7" s="84" t="s">
        <v>85</v>
      </c>
      <c r="B7" s="165" t="s">
        <v>120</v>
      </c>
      <c r="C7" s="84"/>
      <c r="D7" s="14">
        <f>D9+D32+D43</f>
        <v>42612.1</v>
      </c>
      <c r="E7" s="14">
        <f>E9+E32+E43</f>
        <v>61102.399999999994</v>
      </c>
      <c r="F7" s="14">
        <f>F9+F32+F43</f>
        <v>46017.099999999991</v>
      </c>
      <c r="G7" s="111">
        <f>F7-E7</f>
        <v>-15085.300000000003</v>
      </c>
      <c r="H7" s="111">
        <f>(F7/E7)*100</f>
        <v>75.311444394982843</v>
      </c>
      <c r="I7" s="158"/>
      <c r="J7" s="105"/>
      <c r="K7" s="105">
        <f>K9+K16+K23</f>
        <v>56252.100000000013</v>
      </c>
      <c r="L7" s="50">
        <f t="shared" ref="L7:M7" si="0">L9+L16+L23</f>
        <v>72820.7</v>
      </c>
      <c r="M7" s="105">
        <f t="shared" si="0"/>
        <v>62452.799999999996</v>
      </c>
      <c r="N7" s="50"/>
      <c r="O7" s="166"/>
      <c r="P7" s="166"/>
      <c r="Q7" s="166"/>
      <c r="R7" s="20"/>
    </row>
    <row r="8" spans="1:18" ht="24" customHeight="1">
      <c r="A8" s="53"/>
      <c r="B8" s="167" t="s">
        <v>86</v>
      </c>
      <c r="C8" s="45"/>
      <c r="D8" s="15"/>
      <c r="E8" s="15"/>
      <c r="F8" s="15"/>
      <c r="G8" s="111"/>
      <c r="H8" s="111"/>
      <c r="I8" s="158"/>
      <c r="J8" s="105"/>
      <c r="L8" s="158"/>
      <c r="M8" s="158"/>
      <c r="N8" s="50"/>
      <c r="O8" s="166"/>
      <c r="P8" s="166"/>
      <c r="Q8" s="166"/>
    </row>
    <row r="9" spans="1:18" ht="30" customHeight="1">
      <c r="A9" s="112" t="s">
        <v>87</v>
      </c>
      <c r="B9" s="83" t="s">
        <v>90</v>
      </c>
      <c r="C9" s="84">
        <v>1010</v>
      </c>
      <c r="D9" s="14">
        <f>D10+D16+D17+D19+D18</f>
        <v>39314.1</v>
      </c>
      <c r="E9" s="14">
        <f>E10+E16+E17+E19</f>
        <v>59633.399999999994</v>
      </c>
      <c r="F9" s="14">
        <f>F10+F16+F17+F19+F18</f>
        <v>42196.399999999994</v>
      </c>
      <c r="G9" s="111">
        <f>F9-E9</f>
        <v>-17437</v>
      </c>
      <c r="H9" s="111">
        <f>(F9/E9)*100</f>
        <v>70.759674947261104</v>
      </c>
      <c r="I9" s="158"/>
      <c r="J9" s="168">
        <v>1010</v>
      </c>
      <c r="K9" s="169">
        <f>SUM(D9,D50,D62,D117,D129,D165,D179,D192,D217,D241,D255,D270,D275,D318)</f>
        <v>52025.400000000009</v>
      </c>
      <c r="L9" s="160">
        <f t="shared" ref="L9:M9" si="1">SUM(E9,E50,E62,E117,E129,E165,E179,E192,E217,E241,E255,E270,E275,E318)</f>
        <v>69441.5</v>
      </c>
      <c r="M9" s="160">
        <f t="shared" si="1"/>
        <v>58038.999999999993</v>
      </c>
      <c r="N9" s="160"/>
      <c r="O9" s="170"/>
      <c r="P9" s="166"/>
      <c r="Q9" s="166"/>
      <c r="R9" s="50"/>
    </row>
    <row r="10" spans="1:18" ht="28.5" customHeight="1">
      <c r="A10" s="124" t="s">
        <v>138</v>
      </c>
      <c r="B10" s="171" t="s">
        <v>107</v>
      </c>
      <c r="C10" s="126">
        <v>1011</v>
      </c>
      <c r="D10" s="41">
        <f>SUM(D11:D15)</f>
        <v>2834.8999999999996</v>
      </c>
      <c r="E10" s="41">
        <f>SUM(E11:E15)</f>
        <v>3830</v>
      </c>
      <c r="F10" s="41">
        <f>SUM(F11:F15)</f>
        <v>4677.2</v>
      </c>
      <c r="G10" s="114">
        <f>F10-E10</f>
        <v>847.19999999999982</v>
      </c>
      <c r="H10" s="114">
        <f>(F10/E10)*100</f>
        <v>122.1201044386423</v>
      </c>
      <c r="J10" s="50">
        <v>1011</v>
      </c>
      <c r="K10" s="20">
        <f>SUM(D10,D51,D63,D118,D130,D166,D180,D193,D218,D256,D276,)</f>
        <v>6832.7</v>
      </c>
      <c r="L10" s="172">
        <f t="shared" ref="L10:M10" si="2">SUM(E10,E51,E63,E118,E130,E166,E180,E193,E218,E256,E276,)</f>
        <v>8197.4</v>
      </c>
      <c r="M10" s="172">
        <f t="shared" si="2"/>
        <v>13154.499999999998</v>
      </c>
      <c r="N10" s="160"/>
      <c r="O10" s="170"/>
      <c r="P10" s="166"/>
      <c r="Q10" s="166"/>
      <c r="R10" s="50"/>
    </row>
    <row r="11" spans="1:18" ht="25.5" customHeight="1">
      <c r="A11" s="173"/>
      <c r="B11" s="128" t="s">
        <v>139</v>
      </c>
      <c r="C11" s="120"/>
      <c r="D11" s="15">
        <v>2663.6</v>
      </c>
      <c r="E11" s="15">
        <v>3200</v>
      </c>
      <c r="F11" s="15">
        <f>4019.6+170.4</f>
        <v>4190</v>
      </c>
      <c r="G11" s="129">
        <f>F11-E11</f>
        <v>990</v>
      </c>
      <c r="H11" s="129">
        <f>(F11/E11)*100</f>
        <v>130.9375</v>
      </c>
      <c r="J11" s="50">
        <v>1012</v>
      </c>
      <c r="K11" s="20">
        <f>SUM(D16,D53,D70,D136,D170,)</f>
        <v>32500.899999999998</v>
      </c>
      <c r="L11" s="172">
        <f t="shared" ref="L11:M11" si="3">SUM(E16,E53,E70,E136,E170,)</f>
        <v>44502.6</v>
      </c>
      <c r="M11" s="172">
        <f t="shared" si="3"/>
        <v>30616.3</v>
      </c>
      <c r="N11" s="172"/>
      <c r="O11" s="170"/>
      <c r="P11" s="166"/>
      <c r="Q11" s="166"/>
      <c r="R11" s="20"/>
    </row>
    <row r="12" spans="1:18" ht="27" customHeight="1">
      <c r="A12" s="173"/>
      <c r="B12" s="128" t="s">
        <v>140</v>
      </c>
      <c r="C12" s="120"/>
      <c r="D12" s="15">
        <v>132.5</v>
      </c>
      <c r="E12" s="15">
        <v>350</v>
      </c>
      <c r="F12" s="15">
        <v>329.5</v>
      </c>
      <c r="G12" s="129">
        <f>F12-E12</f>
        <v>-20.5</v>
      </c>
      <c r="H12" s="129">
        <f>(F12/E12)*100</f>
        <v>94.142857142857139</v>
      </c>
      <c r="J12" s="50">
        <v>1013</v>
      </c>
      <c r="K12" s="20">
        <f>SUM(D17,D54,D71,D137,D171,)</f>
        <v>6724.6</v>
      </c>
      <c r="L12" s="172">
        <f t="shared" ref="L12:M12" si="4">SUM(E17,E54,E71,E137,E171,)</f>
        <v>10891.400000000001</v>
      </c>
      <c r="M12" s="172">
        <f t="shared" si="4"/>
        <v>6577.2000000000007</v>
      </c>
      <c r="N12" s="172"/>
      <c r="O12" s="170"/>
      <c r="P12" s="166"/>
      <c r="R12" s="50"/>
    </row>
    <row r="13" spans="1:18" ht="27" customHeight="1">
      <c r="A13" s="173"/>
      <c r="B13" s="128" t="s">
        <v>297</v>
      </c>
      <c r="C13" s="120"/>
      <c r="D13" s="15"/>
      <c r="E13" s="15">
        <v>30</v>
      </c>
      <c r="F13" s="15"/>
      <c r="G13" s="129">
        <f t="shared" ref="G13:G82" si="5">F13-E13</f>
        <v>-30</v>
      </c>
      <c r="H13" s="129">
        <f t="shared" ref="H13:H82" si="6">(F13/E13)*100</f>
        <v>0</v>
      </c>
      <c r="J13" s="50">
        <v>1014</v>
      </c>
      <c r="K13" s="20">
        <f>SUM(D18,D72,D138,D319,D282)</f>
        <v>765.4</v>
      </c>
      <c r="L13" s="172">
        <f t="shared" ref="L13:M13" si="7">SUM(E18,E72,E138,E319,E282)</f>
        <v>900</v>
      </c>
      <c r="M13" s="172">
        <f t="shared" si="7"/>
        <v>2759.7000000000003</v>
      </c>
      <c r="N13" s="172"/>
      <c r="O13" s="170"/>
      <c r="P13" s="166"/>
      <c r="Q13" s="166"/>
      <c r="R13" s="50"/>
    </row>
    <row r="14" spans="1:18" ht="37.5" customHeight="1">
      <c r="A14" s="173"/>
      <c r="B14" s="128" t="s">
        <v>163</v>
      </c>
      <c r="C14" s="120"/>
      <c r="D14" s="15">
        <v>28.7</v>
      </c>
      <c r="E14" s="15">
        <v>150</v>
      </c>
      <c r="F14" s="15">
        <f>92.8</f>
        <v>92.8</v>
      </c>
      <c r="G14" s="129">
        <f t="shared" si="5"/>
        <v>-57.2</v>
      </c>
      <c r="H14" s="129">
        <f t="shared" si="6"/>
        <v>61.866666666666667</v>
      </c>
      <c r="J14" s="50">
        <v>1015</v>
      </c>
      <c r="K14" s="20">
        <f>SUM(D19,D73,D124,D139,D172,D183,D202,D242,D261,D271,D283,)</f>
        <v>5201.8</v>
      </c>
      <c r="L14" s="172">
        <f t="shared" ref="L14:M14" si="8">SUM(E19,E73,E124,E139,E172,E183,E202,E242,E261,E271,E283,)</f>
        <v>4950.1000000000004</v>
      </c>
      <c r="M14" s="172">
        <f t="shared" si="8"/>
        <v>4931.3000000000011</v>
      </c>
      <c r="N14" s="172"/>
      <c r="O14" s="170"/>
      <c r="P14" s="166"/>
      <c r="Q14" s="166"/>
    </row>
    <row r="15" spans="1:18" ht="27" customHeight="1">
      <c r="A15" s="173"/>
      <c r="B15" s="128" t="s">
        <v>241</v>
      </c>
      <c r="C15" s="120"/>
      <c r="D15" s="15">
        <v>10.1</v>
      </c>
      <c r="E15" s="15">
        <v>100</v>
      </c>
      <c r="F15" s="15">
        <f>33.6+31.3</f>
        <v>64.900000000000006</v>
      </c>
      <c r="G15" s="129">
        <f t="shared" si="5"/>
        <v>-35.099999999999994</v>
      </c>
      <c r="H15" s="129">
        <f t="shared" si="6"/>
        <v>64.900000000000006</v>
      </c>
      <c r="L15" s="172"/>
      <c r="M15" s="172"/>
      <c r="N15" s="172"/>
      <c r="O15" s="174"/>
      <c r="P15" s="164"/>
      <c r="Q15" s="164"/>
    </row>
    <row r="16" spans="1:18" ht="26.25" customHeight="1">
      <c r="A16" s="124" t="s">
        <v>142</v>
      </c>
      <c r="B16" s="171" t="s">
        <v>2</v>
      </c>
      <c r="C16" s="175">
        <v>1012</v>
      </c>
      <c r="D16" s="41">
        <v>29985.3</v>
      </c>
      <c r="E16" s="41">
        <v>44287.199999999997</v>
      </c>
      <c r="F16" s="41">
        <v>30445.5</v>
      </c>
      <c r="G16" s="114">
        <f t="shared" si="5"/>
        <v>-13841.699999999997</v>
      </c>
      <c r="H16" s="114">
        <f t="shared" si="6"/>
        <v>68.745596921909723</v>
      </c>
      <c r="J16" s="50">
        <v>1020</v>
      </c>
      <c r="K16" s="169">
        <f>SUM(D32,D96,D150,D207,D245,D297,D321)</f>
        <v>3684.2999999999993</v>
      </c>
      <c r="L16" s="50">
        <f t="shared" ref="L16:M16" si="9">SUM(E32,E96,E150,E207,E245,E297,E321)</f>
        <v>2370.8000000000002</v>
      </c>
      <c r="M16" s="50">
        <f t="shared" si="9"/>
        <v>3445.5</v>
      </c>
      <c r="O16" s="170"/>
      <c r="P16" s="166"/>
      <c r="Q16" s="166"/>
    </row>
    <row r="17" spans="1:18" ht="27" customHeight="1">
      <c r="A17" s="124" t="s">
        <v>143</v>
      </c>
      <c r="B17" s="171" t="s">
        <v>3</v>
      </c>
      <c r="C17" s="175">
        <v>1013</v>
      </c>
      <c r="D17" s="41">
        <v>6026.1</v>
      </c>
      <c r="E17" s="41">
        <v>10836.2</v>
      </c>
      <c r="F17" s="41">
        <v>6539.6</v>
      </c>
      <c r="G17" s="114">
        <f t="shared" si="5"/>
        <v>-4296.6000000000004</v>
      </c>
      <c r="H17" s="114">
        <f t="shared" si="6"/>
        <v>60.349569037116332</v>
      </c>
      <c r="J17" s="50">
        <v>1021</v>
      </c>
      <c r="K17" s="20">
        <f>SUM(D33,D97,D151,D208,D298,)</f>
        <v>25.1</v>
      </c>
      <c r="L17" s="172">
        <f t="shared" ref="L17:M17" si="10">SUM(E33,E97,E151,E208,E298,)</f>
        <v>35</v>
      </c>
      <c r="M17" s="172">
        <f t="shared" si="10"/>
        <v>33.9</v>
      </c>
      <c r="N17" s="160"/>
      <c r="O17" s="170"/>
      <c r="P17" s="166"/>
      <c r="Q17" s="166"/>
    </row>
    <row r="18" spans="1:18" ht="26.25" customHeight="1">
      <c r="A18" s="124" t="s">
        <v>144</v>
      </c>
      <c r="B18" s="171" t="s">
        <v>4</v>
      </c>
      <c r="C18" s="175">
        <v>1014</v>
      </c>
      <c r="D18" s="41">
        <v>64.400000000000006</v>
      </c>
      <c r="E18" s="41"/>
      <c r="F18" s="41">
        <v>9.1999999999999993</v>
      </c>
      <c r="G18" s="114">
        <f t="shared" si="5"/>
        <v>9.1999999999999993</v>
      </c>
      <c r="H18" s="176" t="e">
        <f t="shared" si="6"/>
        <v>#DIV/0!</v>
      </c>
      <c r="I18" s="177"/>
      <c r="J18" s="50">
        <v>1022</v>
      </c>
      <c r="K18" s="20">
        <f>SUM(D36,)</f>
        <v>2247.1999999999998</v>
      </c>
      <c r="L18" s="172">
        <f t="shared" ref="L18:M18" si="11">SUM(E36,)</f>
        <v>989.2</v>
      </c>
      <c r="M18" s="172">
        <f t="shared" si="11"/>
        <v>2308.4</v>
      </c>
      <c r="N18" s="160"/>
      <c r="O18" s="170"/>
      <c r="P18" s="166"/>
      <c r="Q18" s="17"/>
    </row>
    <row r="19" spans="1:18" ht="26.25" customHeight="1">
      <c r="A19" s="124" t="s">
        <v>145</v>
      </c>
      <c r="B19" s="171" t="s">
        <v>146</v>
      </c>
      <c r="C19" s="175">
        <v>1015</v>
      </c>
      <c r="D19" s="41">
        <f>SUM(D20:D30)</f>
        <v>403.40000000000003</v>
      </c>
      <c r="E19" s="41">
        <f>SUM(E20:E30)</f>
        <v>680</v>
      </c>
      <c r="F19" s="41">
        <f>SUM(F20:F31)</f>
        <v>524.90000000000009</v>
      </c>
      <c r="G19" s="114">
        <f t="shared" si="5"/>
        <v>-155.09999999999991</v>
      </c>
      <c r="H19" s="114">
        <f t="shared" si="6"/>
        <v>77.191176470588246</v>
      </c>
      <c r="J19" s="50">
        <v>1023</v>
      </c>
      <c r="K19" s="20">
        <f>SUM(D37,)</f>
        <v>561.70000000000005</v>
      </c>
      <c r="L19" s="172">
        <f t="shared" ref="L19:M19" si="12">SUM(E37,)</f>
        <v>217.6</v>
      </c>
      <c r="M19" s="172">
        <f t="shared" si="12"/>
        <v>453.9</v>
      </c>
      <c r="N19" s="172"/>
      <c r="O19" s="170"/>
      <c r="P19" s="166"/>
      <c r="Q19" s="166"/>
      <c r="R19" s="20"/>
    </row>
    <row r="20" spans="1:18" ht="27" customHeight="1">
      <c r="A20" s="127"/>
      <c r="B20" s="115" t="s">
        <v>147</v>
      </c>
      <c r="C20" s="178"/>
      <c r="D20" s="19"/>
      <c r="E20" s="19">
        <v>30</v>
      </c>
      <c r="F20" s="19">
        <v>27.5</v>
      </c>
      <c r="G20" s="129">
        <f t="shared" si="5"/>
        <v>-2.5</v>
      </c>
      <c r="H20" s="129">
        <f t="shared" si="6"/>
        <v>91.666666666666657</v>
      </c>
      <c r="J20" s="50">
        <v>1024</v>
      </c>
      <c r="K20" s="20">
        <f>SUM(D322)</f>
        <v>655.4</v>
      </c>
      <c r="L20" s="172">
        <f t="shared" ref="L20:M20" si="13">SUM(E322)</f>
        <v>530</v>
      </c>
      <c r="M20" s="172">
        <f t="shared" si="13"/>
        <v>154.30000000000001</v>
      </c>
      <c r="N20" s="172"/>
      <c r="O20" s="170"/>
      <c r="P20" s="166"/>
      <c r="Q20" s="166"/>
      <c r="R20" s="50"/>
    </row>
    <row r="21" spans="1:18" ht="26.25" customHeight="1">
      <c r="A21" s="127"/>
      <c r="B21" s="128" t="s">
        <v>148</v>
      </c>
      <c r="C21" s="178"/>
      <c r="D21" s="19">
        <v>81.5</v>
      </c>
      <c r="E21" s="19">
        <v>125</v>
      </c>
      <c r="F21" s="19">
        <v>177.5</v>
      </c>
      <c r="G21" s="129">
        <f t="shared" si="5"/>
        <v>52.5</v>
      </c>
      <c r="H21" s="129">
        <f t="shared" si="6"/>
        <v>142</v>
      </c>
      <c r="J21" s="50">
        <v>1025</v>
      </c>
      <c r="K21" s="20">
        <f>SUM(D38,D100,D154,D210,D246,D301,)</f>
        <v>194.9</v>
      </c>
      <c r="L21" s="172">
        <f t="shared" ref="L21:M21" si="14">SUM(E38,E100,E154,E210,E246,E301,)</f>
        <v>599</v>
      </c>
      <c r="M21" s="172">
        <f t="shared" si="14"/>
        <v>495</v>
      </c>
      <c r="N21" s="172"/>
      <c r="O21" s="170"/>
      <c r="P21" s="166"/>
      <c r="Q21" s="166"/>
    </row>
    <row r="22" spans="1:18" ht="26.25" customHeight="1">
      <c r="A22" s="127"/>
      <c r="B22" s="128" t="s">
        <v>149</v>
      </c>
      <c r="C22" s="178"/>
      <c r="D22" s="19">
        <v>48.9</v>
      </c>
      <c r="E22" s="19"/>
      <c r="F22" s="19"/>
      <c r="G22" s="129"/>
      <c r="H22" s="129"/>
      <c r="K22" s="17"/>
      <c r="L22" s="172"/>
      <c r="M22" s="172"/>
      <c r="N22" s="172"/>
      <c r="O22" s="170"/>
      <c r="P22" s="166"/>
      <c r="Q22" s="166"/>
    </row>
    <row r="23" spans="1:18" ht="26.25" customHeight="1">
      <c r="A23" s="127"/>
      <c r="B23" s="128" t="s">
        <v>150</v>
      </c>
      <c r="C23" s="178"/>
      <c r="D23" s="19">
        <v>16</v>
      </c>
      <c r="E23" s="19">
        <v>38.200000000000003</v>
      </c>
      <c r="F23" s="19">
        <v>49</v>
      </c>
      <c r="G23" s="129">
        <f t="shared" si="5"/>
        <v>10.799999999999997</v>
      </c>
      <c r="H23" s="129">
        <f t="shared" si="6"/>
        <v>128.27225130890051</v>
      </c>
      <c r="J23" s="50">
        <v>1030</v>
      </c>
      <c r="K23" s="169">
        <f>SUM(D43,D57,D110,D160,D187,D227,D234,D312,D250)</f>
        <v>542.4</v>
      </c>
      <c r="L23" s="160">
        <f t="shared" ref="L23:M23" si="15">SUM(E43,E57,E110,E160,E187,E227,E234,E312,E250)</f>
        <v>1008.4</v>
      </c>
      <c r="M23" s="160">
        <f t="shared" si="15"/>
        <v>968.3</v>
      </c>
      <c r="N23" s="160"/>
      <c r="O23" s="170"/>
      <c r="P23" s="166"/>
      <c r="Q23" s="166"/>
    </row>
    <row r="24" spans="1:18" ht="26.25" customHeight="1">
      <c r="A24" s="127"/>
      <c r="B24" s="128" t="s">
        <v>151</v>
      </c>
      <c r="C24" s="178"/>
      <c r="D24" s="19">
        <v>63.4</v>
      </c>
      <c r="E24" s="19">
        <v>160</v>
      </c>
      <c r="F24" s="19">
        <v>69.5</v>
      </c>
      <c r="G24" s="129">
        <f t="shared" si="5"/>
        <v>-90.5</v>
      </c>
      <c r="H24" s="129">
        <f t="shared" si="6"/>
        <v>43.4375</v>
      </c>
      <c r="J24" s="50">
        <v>1031</v>
      </c>
      <c r="K24" s="17"/>
      <c r="L24" s="172"/>
      <c r="M24" s="172"/>
      <c r="N24" s="172"/>
      <c r="O24" s="170"/>
    </row>
    <row r="25" spans="1:18" ht="26.25" customHeight="1">
      <c r="A25" s="127"/>
      <c r="B25" s="128" t="s">
        <v>152</v>
      </c>
      <c r="C25" s="178" t="s">
        <v>237</v>
      </c>
      <c r="D25" s="19">
        <v>76.8</v>
      </c>
      <c r="E25" s="19">
        <v>150</v>
      </c>
      <c r="F25" s="19">
        <f>22.3-13.5</f>
        <v>8.8000000000000007</v>
      </c>
      <c r="G25" s="129">
        <f t="shared" si="5"/>
        <v>-141.19999999999999</v>
      </c>
      <c r="H25" s="129">
        <f t="shared" si="6"/>
        <v>5.8666666666666671</v>
      </c>
      <c r="J25" s="50">
        <v>1032</v>
      </c>
      <c r="K25" s="20">
        <f>SUM(D44,D58,)</f>
        <v>360.1</v>
      </c>
      <c r="L25" s="172">
        <f t="shared" ref="L25:M25" si="16">SUM(E44,E58,)</f>
        <v>723.6</v>
      </c>
      <c r="M25" s="172">
        <f t="shared" si="16"/>
        <v>693.4</v>
      </c>
      <c r="N25" s="172"/>
      <c r="O25" s="170"/>
      <c r="P25" s="166"/>
      <c r="Q25" s="166"/>
    </row>
    <row r="26" spans="1:18" ht="26.25" customHeight="1">
      <c r="A26" s="127"/>
      <c r="B26" s="128" t="s">
        <v>153</v>
      </c>
      <c r="C26" s="178"/>
      <c r="D26" s="19">
        <v>30.1</v>
      </c>
      <c r="E26" s="19">
        <v>35</v>
      </c>
      <c r="F26" s="19"/>
      <c r="G26" s="129">
        <f t="shared" si="5"/>
        <v>-35</v>
      </c>
      <c r="H26" s="129">
        <f t="shared" si="6"/>
        <v>0</v>
      </c>
      <c r="J26" s="50">
        <v>1033</v>
      </c>
      <c r="K26" s="20">
        <f>SUM(D45,D59,)</f>
        <v>106.8</v>
      </c>
      <c r="L26" s="160">
        <f t="shared" ref="L26:M26" si="17">SUM(E45,E59,)</f>
        <v>159.19999999999999</v>
      </c>
      <c r="M26" s="160">
        <f t="shared" si="17"/>
        <v>161.1</v>
      </c>
      <c r="N26" s="160"/>
      <c r="O26" s="170"/>
      <c r="P26" s="166"/>
      <c r="Q26" s="166"/>
    </row>
    <row r="27" spans="1:18" ht="26.25" customHeight="1">
      <c r="A27" s="127"/>
      <c r="B27" s="128" t="s">
        <v>167</v>
      </c>
      <c r="C27" s="178"/>
      <c r="D27" s="19">
        <v>61.9</v>
      </c>
      <c r="E27" s="19">
        <v>41</v>
      </c>
      <c r="F27" s="19"/>
      <c r="G27" s="129">
        <f t="shared" si="5"/>
        <v>-41</v>
      </c>
      <c r="H27" s="129">
        <f t="shared" si="6"/>
        <v>0</v>
      </c>
      <c r="J27" s="50">
        <v>1034</v>
      </c>
      <c r="K27" s="17"/>
      <c r="L27" s="172"/>
      <c r="M27" s="172"/>
      <c r="N27" s="172"/>
      <c r="O27" s="170"/>
      <c r="P27" s="166"/>
      <c r="Q27" s="166"/>
    </row>
    <row r="28" spans="1:18" ht="26.25" customHeight="1">
      <c r="A28" s="127"/>
      <c r="B28" s="128" t="s">
        <v>169</v>
      </c>
      <c r="C28" s="178"/>
      <c r="D28" s="19"/>
      <c r="E28" s="19">
        <v>50</v>
      </c>
      <c r="F28" s="19">
        <f>239.1-79.1</f>
        <v>160</v>
      </c>
      <c r="G28" s="129">
        <f t="shared" si="5"/>
        <v>110</v>
      </c>
      <c r="H28" s="129">
        <f t="shared" si="6"/>
        <v>320</v>
      </c>
      <c r="J28" s="50">
        <v>1035</v>
      </c>
      <c r="K28" s="20">
        <f>SUM(D46,D111,D161,D188,D228,D235,D313,D251)</f>
        <v>75.5</v>
      </c>
      <c r="L28" s="172">
        <f t="shared" ref="L28:M28" si="18">SUM(E46,E111,E161,E188,E228,E235,E313,E251)</f>
        <v>125.6</v>
      </c>
      <c r="M28" s="172">
        <f t="shared" si="18"/>
        <v>113.80000000000001</v>
      </c>
      <c r="N28" s="172"/>
      <c r="O28" s="170"/>
      <c r="P28" s="166"/>
      <c r="Q28" s="166"/>
    </row>
    <row r="29" spans="1:18" ht="29.25" customHeight="1">
      <c r="A29" s="127"/>
      <c r="B29" s="115" t="s">
        <v>154</v>
      </c>
      <c r="C29" s="178"/>
      <c r="D29" s="19">
        <v>23.2</v>
      </c>
      <c r="E29" s="19">
        <v>30.8</v>
      </c>
      <c r="F29" s="19">
        <f>9.3+9.3</f>
        <v>18.600000000000001</v>
      </c>
      <c r="G29" s="129">
        <f t="shared" si="5"/>
        <v>-12.2</v>
      </c>
      <c r="H29" s="129">
        <f t="shared" si="6"/>
        <v>60.389610389610397</v>
      </c>
      <c r="L29" s="172"/>
      <c r="M29" s="172"/>
      <c r="N29" s="172"/>
      <c r="O29" s="170"/>
      <c r="P29" s="166"/>
      <c r="Q29" s="166"/>
    </row>
    <row r="30" spans="1:18" ht="26.25" customHeight="1">
      <c r="A30" s="127"/>
      <c r="B30" s="128" t="s">
        <v>155</v>
      </c>
      <c r="C30" s="178"/>
      <c r="D30" s="19">
        <v>1.6</v>
      </c>
      <c r="E30" s="19">
        <v>20</v>
      </c>
      <c r="F30" s="19"/>
      <c r="G30" s="129">
        <f t="shared" si="5"/>
        <v>-20</v>
      </c>
      <c r="H30" s="129">
        <f t="shared" si="6"/>
        <v>0</v>
      </c>
      <c r="J30" s="50">
        <v>9000</v>
      </c>
      <c r="K30" s="158">
        <f>K10+K17+K24</f>
        <v>6857.8</v>
      </c>
      <c r="L30" s="172">
        <f t="shared" ref="L30:M30" si="19">L10+L17+L24</f>
        <v>8232.4</v>
      </c>
      <c r="M30" s="172">
        <f t="shared" si="19"/>
        <v>13188.399999999998</v>
      </c>
      <c r="N30" s="172"/>
      <c r="O30" s="170"/>
      <c r="P30" s="166"/>
      <c r="Q30" s="166"/>
    </row>
    <row r="31" spans="1:18" ht="26.25" customHeight="1">
      <c r="A31" s="127"/>
      <c r="B31" s="128" t="s">
        <v>243</v>
      </c>
      <c r="C31" s="178"/>
      <c r="D31" s="19"/>
      <c r="E31" s="19"/>
      <c r="F31" s="19">
        <v>14</v>
      </c>
      <c r="G31" s="129">
        <f t="shared" si="5"/>
        <v>14</v>
      </c>
      <c r="H31" s="130" t="e">
        <f t="shared" si="6"/>
        <v>#DIV/0!</v>
      </c>
      <c r="J31" s="50">
        <v>9010</v>
      </c>
      <c r="K31" s="158">
        <f>K11+K18+K25</f>
        <v>35108.199999999997</v>
      </c>
      <c r="L31" s="172">
        <f t="shared" ref="L31:M31" si="20">L11+L18+L25</f>
        <v>46215.399999999994</v>
      </c>
      <c r="M31" s="172">
        <f t="shared" si="20"/>
        <v>33618.1</v>
      </c>
      <c r="N31" s="172"/>
      <c r="O31" s="170"/>
      <c r="P31" s="166"/>
      <c r="Q31" s="166"/>
    </row>
    <row r="32" spans="1:18" ht="26.25" customHeight="1">
      <c r="A32" s="112" t="s">
        <v>88</v>
      </c>
      <c r="B32" s="165" t="s">
        <v>92</v>
      </c>
      <c r="C32" s="84">
        <v>1020</v>
      </c>
      <c r="D32" s="14">
        <f>D36+D37+D38</f>
        <v>2831.0999999999995</v>
      </c>
      <c r="E32" s="14">
        <f>E36+E37+E38</f>
        <v>1465</v>
      </c>
      <c r="F32" s="14">
        <f>F36+F37+F38+F33</f>
        <v>2966.2000000000003</v>
      </c>
      <c r="G32" s="111">
        <f t="shared" si="5"/>
        <v>1501.2000000000003</v>
      </c>
      <c r="H32" s="111">
        <f t="shared" si="6"/>
        <v>202.47098976109217</v>
      </c>
      <c r="J32" s="50">
        <v>9020</v>
      </c>
      <c r="K32" s="158">
        <f>K12+K19+K26</f>
        <v>7393.1</v>
      </c>
      <c r="L32" s="17">
        <f t="shared" ref="L32:M32" si="21">L12+L19+L26</f>
        <v>11268.200000000003</v>
      </c>
      <c r="M32" s="17">
        <f t="shared" si="21"/>
        <v>7192.2000000000007</v>
      </c>
      <c r="O32" s="170"/>
    </row>
    <row r="33" spans="1:17" ht="26.25" customHeight="1">
      <c r="A33" s="112" t="s">
        <v>412</v>
      </c>
      <c r="B33" s="165" t="s">
        <v>107</v>
      </c>
      <c r="C33" s="84">
        <v>1021</v>
      </c>
      <c r="D33" s="14"/>
      <c r="E33" s="14"/>
      <c r="F33" s="14">
        <f>F34+F35</f>
        <v>5.9</v>
      </c>
      <c r="G33" s="111"/>
      <c r="H33" s="111"/>
      <c r="J33" s="50">
        <v>9030</v>
      </c>
      <c r="K33" s="158">
        <f>K13+K20+K27</f>
        <v>1420.8</v>
      </c>
      <c r="L33" s="160">
        <f t="shared" ref="L33:M33" si="22">L13+L20+L27</f>
        <v>1430</v>
      </c>
      <c r="M33" s="160">
        <f t="shared" si="22"/>
        <v>2914.0000000000005</v>
      </c>
      <c r="N33" s="160"/>
      <c r="O33" s="170"/>
    </row>
    <row r="34" spans="1:17" ht="26.25" customHeight="1">
      <c r="A34" s="112"/>
      <c r="B34" s="115" t="s">
        <v>298</v>
      </c>
      <c r="C34" s="45"/>
      <c r="D34" s="15"/>
      <c r="E34" s="15"/>
      <c r="F34" s="15">
        <v>2.8</v>
      </c>
      <c r="G34" s="111"/>
      <c r="H34" s="111"/>
      <c r="J34" s="50">
        <v>9040</v>
      </c>
      <c r="K34" s="158">
        <f>K14+K21+K28</f>
        <v>5472.2</v>
      </c>
      <c r="L34" s="172">
        <f t="shared" ref="L34:M34" si="23">L14+L21+L28</f>
        <v>5674.7000000000007</v>
      </c>
      <c r="M34" s="172">
        <f t="shared" si="23"/>
        <v>5540.1000000000013</v>
      </c>
      <c r="N34" s="172"/>
      <c r="O34" s="170"/>
    </row>
    <row r="35" spans="1:17" ht="39.75" customHeight="1">
      <c r="A35" s="112"/>
      <c r="B35" s="128" t="s">
        <v>163</v>
      </c>
      <c r="C35" s="45"/>
      <c r="D35" s="15"/>
      <c r="E35" s="15"/>
      <c r="F35" s="15">
        <v>3.1</v>
      </c>
      <c r="G35" s="111"/>
      <c r="H35" s="111"/>
      <c r="J35" s="50">
        <v>9050</v>
      </c>
      <c r="K35" s="105">
        <f>SUM(K30:K34)</f>
        <v>56252.1</v>
      </c>
      <c r="L35" s="160">
        <f>SUM(L30:L34)</f>
        <v>72820.7</v>
      </c>
      <c r="M35" s="160">
        <f>SUM(M30:M34)</f>
        <v>62452.799999999996</v>
      </c>
      <c r="N35" s="172"/>
      <c r="O35" s="170"/>
    </row>
    <row r="36" spans="1:17" ht="31.5" customHeight="1">
      <c r="A36" s="124" t="s">
        <v>156</v>
      </c>
      <c r="B36" s="171" t="s">
        <v>2</v>
      </c>
      <c r="C36" s="175">
        <v>1022</v>
      </c>
      <c r="D36" s="41">
        <v>2247.1999999999998</v>
      </c>
      <c r="E36" s="41">
        <v>989.2</v>
      </c>
      <c r="F36" s="41">
        <v>2308.4</v>
      </c>
      <c r="G36" s="114">
        <f t="shared" si="5"/>
        <v>1319.2</v>
      </c>
      <c r="H36" s="114">
        <f t="shared" si="6"/>
        <v>233.36029114435908</v>
      </c>
      <c r="L36" s="172"/>
      <c r="M36" s="172"/>
      <c r="N36" s="172"/>
      <c r="O36" s="179"/>
      <c r="P36" s="180"/>
      <c r="Q36" s="180"/>
    </row>
    <row r="37" spans="1:17" ht="26.25" customHeight="1">
      <c r="A37" s="124" t="s">
        <v>157</v>
      </c>
      <c r="B37" s="171" t="s">
        <v>3</v>
      </c>
      <c r="C37" s="175">
        <v>1023</v>
      </c>
      <c r="D37" s="41">
        <v>561.70000000000005</v>
      </c>
      <c r="E37" s="41">
        <v>217.6</v>
      </c>
      <c r="F37" s="41">
        <v>453.9</v>
      </c>
      <c r="G37" s="114">
        <f t="shared" si="5"/>
        <v>236.29999999999998</v>
      </c>
      <c r="H37" s="114">
        <f t="shared" si="6"/>
        <v>208.59375</v>
      </c>
      <c r="L37" s="172"/>
      <c r="M37" s="172"/>
      <c r="N37" s="172"/>
      <c r="O37" s="179"/>
      <c r="P37" s="180"/>
      <c r="Q37" s="180"/>
    </row>
    <row r="38" spans="1:17" ht="26.25" customHeight="1">
      <c r="A38" s="124" t="s">
        <v>158</v>
      </c>
      <c r="B38" s="171" t="s">
        <v>159</v>
      </c>
      <c r="C38" s="126">
        <v>1025</v>
      </c>
      <c r="D38" s="41">
        <f>SUM(D39:D42)</f>
        <v>22.2</v>
      </c>
      <c r="E38" s="41">
        <f>SUM(E39:E42)</f>
        <v>258.2</v>
      </c>
      <c r="F38" s="41">
        <f>SUM(F39:F42)</f>
        <v>198</v>
      </c>
      <c r="G38" s="114">
        <f t="shared" si="5"/>
        <v>-60.199999999999989</v>
      </c>
      <c r="H38" s="114">
        <f t="shared" si="6"/>
        <v>76.68474051123161</v>
      </c>
      <c r="L38" s="160"/>
      <c r="M38" s="160"/>
      <c r="N38" s="160"/>
      <c r="O38" s="179"/>
      <c r="P38" s="181"/>
      <c r="Q38" s="181"/>
    </row>
    <row r="39" spans="1:17" ht="26.25" customHeight="1">
      <c r="A39" s="118"/>
      <c r="B39" s="128" t="s">
        <v>155</v>
      </c>
      <c r="C39" s="120"/>
      <c r="D39" s="15"/>
      <c r="E39" s="15">
        <v>0.8</v>
      </c>
      <c r="F39" s="15"/>
      <c r="G39" s="129">
        <f t="shared" si="5"/>
        <v>-0.8</v>
      </c>
      <c r="H39" s="129">
        <f t="shared" si="6"/>
        <v>0</v>
      </c>
      <c r="O39" s="179"/>
      <c r="P39" s="181"/>
      <c r="Q39" s="181"/>
    </row>
    <row r="40" spans="1:17" ht="26.25" customHeight="1">
      <c r="A40" s="118"/>
      <c r="B40" s="128" t="s">
        <v>170</v>
      </c>
      <c r="C40" s="120"/>
      <c r="D40" s="15">
        <v>22.2</v>
      </c>
      <c r="E40" s="15">
        <v>55</v>
      </c>
      <c r="F40" s="15"/>
      <c r="G40" s="129">
        <f t="shared" si="5"/>
        <v>-55</v>
      </c>
      <c r="H40" s="129">
        <f t="shared" si="6"/>
        <v>0</v>
      </c>
      <c r="O40" s="179"/>
      <c r="P40" s="181"/>
      <c r="Q40" s="181"/>
    </row>
    <row r="41" spans="1:17" ht="27" customHeight="1">
      <c r="A41" s="118"/>
      <c r="B41" s="128" t="s">
        <v>295</v>
      </c>
      <c r="C41" s="120"/>
      <c r="D41" s="15"/>
      <c r="E41" s="15">
        <v>200</v>
      </c>
      <c r="F41" s="15">
        <v>198</v>
      </c>
      <c r="G41" s="129">
        <f t="shared" si="5"/>
        <v>-2</v>
      </c>
      <c r="H41" s="129">
        <f t="shared" si="6"/>
        <v>99</v>
      </c>
      <c r="O41" s="179"/>
      <c r="P41" s="180"/>
      <c r="Q41" s="180"/>
    </row>
    <row r="42" spans="1:17" ht="26.25" customHeight="1">
      <c r="A42" s="118"/>
      <c r="B42" s="128" t="s">
        <v>160</v>
      </c>
      <c r="C42" s="120"/>
      <c r="D42" s="15"/>
      <c r="E42" s="15">
        <v>2.4</v>
      </c>
      <c r="F42" s="15"/>
      <c r="G42" s="129">
        <f t="shared" si="5"/>
        <v>-2.4</v>
      </c>
      <c r="H42" s="129">
        <f t="shared" si="6"/>
        <v>0</v>
      </c>
      <c r="O42" s="174"/>
      <c r="P42" s="164"/>
      <c r="Q42" s="164"/>
    </row>
    <row r="43" spans="1:17" ht="25.5" customHeight="1">
      <c r="A43" s="112" t="s">
        <v>91</v>
      </c>
      <c r="B43" s="182" t="s">
        <v>93</v>
      </c>
      <c r="C43" s="84">
        <v>1030</v>
      </c>
      <c r="D43" s="14">
        <f>D44+D45</f>
        <v>466.90000000000003</v>
      </c>
      <c r="E43" s="14">
        <f>E44+E45+E46</f>
        <v>4</v>
      </c>
      <c r="F43" s="14">
        <f>F44+F45</f>
        <v>854.5</v>
      </c>
      <c r="G43" s="111">
        <f t="shared" si="5"/>
        <v>850.5</v>
      </c>
      <c r="H43" s="121">
        <f t="shared" si="6"/>
        <v>21362.5</v>
      </c>
      <c r="M43" s="172"/>
      <c r="N43" s="172"/>
      <c r="O43" s="170"/>
    </row>
    <row r="44" spans="1:17" ht="26.25" customHeight="1">
      <c r="A44" s="124" t="s">
        <v>161</v>
      </c>
      <c r="B44" s="171" t="s">
        <v>2</v>
      </c>
      <c r="C44" s="175">
        <v>1032</v>
      </c>
      <c r="D44" s="41">
        <v>360.1</v>
      </c>
      <c r="E44" s="41"/>
      <c r="F44" s="41">
        <f>693.4</f>
        <v>693.4</v>
      </c>
      <c r="G44" s="114">
        <f t="shared" si="5"/>
        <v>693.4</v>
      </c>
      <c r="H44" s="176" t="e">
        <f t="shared" si="6"/>
        <v>#DIV/0!</v>
      </c>
      <c r="O44" s="170"/>
    </row>
    <row r="45" spans="1:17" ht="23.25" customHeight="1">
      <c r="A45" s="124" t="s">
        <v>162</v>
      </c>
      <c r="B45" s="171" t="s">
        <v>3</v>
      </c>
      <c r="C45" s="175">
        <v>1033</v>
      </c>
      <c r="D45" s="41">
        <v>106.8</v>
      </c>
      <c r="E45" s="41"/>
      <c r="F45" s="41">
        <f>161.1</f>
        <v>161.1</v>
      </c>
      <c r="G45" s="114">
        <f t="shared" si="5"/>
        <v>161.1</v>
      </c>
      <c r="H45" s="176" t="e">
        <f t="shared" si="6"/>
        <v>#DIV/0!</v>
      </c>
      <c r="L45" s="183"/>
      <c r="M45" s="183"/>
      <c r="N45" s="183"/>
    </row>
    <row r="46" spans="1:17" ht="23.25" customHeight="1">
      <c r="A46" s="124" t="s">
        <v>307</v>
      </c>
      <c r="B46" s="171" t="s">
        <v>93</v>
      </c>
      <c r="C46" s="175">
        <v>1035</v>
      </c>
      <c r="D46" s="41"/>
      <c r="E46" s="41">
        <f>E47</f>
        <v>4</v>
      </c>
      <c r="F46" s="41"/>
      <c r="G46" s="114">
        <f t="shared" si="5"/>
        <v>-4</v>
      </c>
      <c r="H46" s="176">
        <f t="shared" si="6"/>
        <v>0</v>
      </c>
      <c r="L46" s="183"/>
      <c r="M46" s="183"/>
      <c r="N46" s="183"/>
    </row>
    <row r="47" spans="1:17" ht="23.25" customHeight="1">
      <c r="A47" s="124"/>
      <c r="B47" s="128" t="s">
        <v>306</v>
      </c>
      <c r="C47" s="175"/>
      <c r="D47" s="41"/>
      <c r="E47" s="15">
        <v>4</v>
      </c>
      <c r="F47" s="41"/>
      <c r="G47" s="114">
        <f t="shared" si="5"/>
        <v>-4</v>
      </c>
      <c r="H47" s="176">
        <f t="shared" si="6"/>
        <v>0</v>
      </c>
      <c r="L47" s="183"/>
      <c r="M47" s="183"/>
      <c r="N47" s="183"/>
    </row>
    <row r="48" spans="1:17" ht="42" customHeight="1">
      <c r="A48" s="184" t="s">
        <v>94</v>
      </c>
      <c r="B48" s="165" t="s">
        <v>245</v>
      </c>
      <c r="C48" s="185"/>
      <c r="D48" s="14">
        <f>D50</f>
        <v>3038</v>
      </c>
      <c r="E48" s="14">
        <f>E50</f>
        <v>0</v>
      </c>
      <c r="F48" s="14">
        <f>F50</f>
        <v>0</v>
      </c>
      <c r="G48" s="111">
        <f t="shared" si="5"/>
        <v>0</v>
      </c>
      <c r="H48" s="130" t="e">
        <f t="shared" si="6"/>
        <v>#DIV/0!</v>
      </c>
    </row>
    <row r="49" spans="1:11" ht="23.25" customHeight="1">
      <c r="A49" s="53"/>
      <c r="B49" s="167" t="s">
        <v>86</v>
      </c>
      <c r="C49" s="45"/>
      <c r="D49" s="19"/>
      <c r="E49" s="19"/>
      <c r="F49" s="14"/>
      <c r="G49" s="129"/>
      <c r="H49" s="129"/>
    </row>
    <row r="50" spans="1:11" ht="26.25" customHeight="1">
      <c r="A50" s="112" t="s">
        <v>95</v>
      </c>
      <c r="B50" s="83" t="s">
        <v>90</v>
      </c>
      <c r="C50" s="84">
        <v>1010</v>
      </c>
      <c r="D50" s="14">
        <f>D53+D54+D51</f>
        <v>3038</v>
      </c>
      <c r="E50" s="14">
        <f>E53+E54</f>
        <v>0</v>
      </c>
      <c r="F50" s="14">
        <f>F53+F54</f>
        <v>0</v>
      </c>
      <c r="G50" s="111">
        <f t="shared" si="5"/>
        <v>0</v>
      </c>
      <c r="H50" s="121" t="e">
        <f t="shared" si="6"/>
        <v>#DIV/0!</v>
      </c>
    </row>
    <row r="51" spans="1:11" ht="26.25" customHeight="1">
      <c r="A51" s="112" t="s">
        <v>369</v>
      </c>
      <c r="B51" s="83" t="s">
        <v>107</v>
      </c>
      <c r="C51" s="84">
        <v>1011</v>
      </c>
      <c r="D51" s="14">
        <f>D52</f>
        <v>2.2000000000000002</v>
      </c>
      <c r="E51" s="14"/>
      <c r="F51" s="14"/>
      <c r="G51" s="111"/>
      <c r="H51" s="121"/>
    </row>
    <row r="52" spans="1:11" ht="26.25" customHeight="1">
      <c r="A52" s="112"/>
      <c r="B52" s="46" t="s">
        <v>139</v>
      </c>
      <c r="C52" s="84"/>
      <c r="D52" s="15">
        <v>2.2000000000000002</v>
      </c>
      <c r="E52" s="14"/>
      <c r="F52" s="14"/>
      <c r="G52" s="111"/>
      <c r="H52" s="121"/>
    </row>
    <row r="53" spans="1:11" ht="27.75" customHeight="1">
      <c r="A53" s="124" t="s">
        <v>417</v>
      </c>
      <c r="B53" s="171" t="s">
        <v>2</v>
      </c>
      <c r="C53" s="186">
        <v>1012</v>
      </c>
      <c r="D53" s="19">
        <v>2368</v>
      </c>
      <c r="E53" s="41"/>
      <c r="F53" s="41"/>
      <c r="G53" s="114">
        <f t="shared" si="5"/>
        <v>0</v>
      </c>
      <c r="H53" s="176" t="e">
        <f t="shared" si="6"/>
        <v>#DIV/0!</v>
      </c>
    </row>
    <row r="54" spans="1:11" ht="31.5" customHeight="1">
      <c r="A54" s="124" t="s">
        <v>165</v>
      </c>
      <c r="B54" s="171" t="s">
        <v>3</v>
      </c>
      <c r="C54" s="186">
        <v>1013</v>
      </c>
      <c r="D54" s="19">
        <v>667.8</v>
      </c>
      <c r="E54" s="41"/>
      <c r="F54" s="41"/>
      <c r="G54" s="114">
        <f t="shared" si="5"/>
        <v>0</v>
      </c>
      <c r="H54" s="176" t="e">
        <f t="shared" si="6"/>
        <v>#DIV/0!</v>
      </c>
    </row>
    <row r="55" spans="1:11" ht="48.75" customHeight="1">
      <c r="A55" s="118" t="s">
        <v>105</v>
      </c>
      <c r="B55" s="122" t="s">
        <v>308</v>
      </c>
      <c r="C55" s="185"/>
      <c r="D55" s="14"/>
      <c r="E55" s="14">
        <f>E57</f>
        <v>882.8</v>
      </c>
      <c r="F55" s="14">
        <f>F57</f>
        <v>0</v>
      </c>
      <c r="G55" s="111">
        <f t="shared" si="5"/>
        <v>-882.8</v>
      </c>
      <c r="H55" s="121">
        <f t="shared" si="6"/>
        <v>0</v>
      </c>
    </row>
    <row r="56" spans="1:11" ht="22.5" customHeight="1">
      <c r="A56" s="124"/>
      <c r="B56" s="145" t="s">
        <v>86</v>
      </c>
      <c r="C56" s="175"/>
      <c r="D56" s="41"/>
      <c r="E56" s="41"/>
      <c r="F56" s="41"/>
      <c r="G56" s="114"/>
      <c r="H56" s="176" t="e">
        <f t="shared" si="6"/>
        <v>#DIV/0!</v>
      </c>
    </row>
    <row r="57" spans="1:11" ht="27.75" customHeight="1">
      <c r="A57" s="118" t="s">
        <v>418</v>
      </c>
      <c r="B57" s="122" t="s">
        <v>93</v>
      </c>
      <c r="C57" s="185">
        <v>1030</v>
      </c>
      <c r="D57" s="14"/>
      <c r="E57" s="14">
        <f>E58+E59</f>
        <v>882.8</v>
      </c>
      <c r="F57" s="14">
        <f>F58+F59</f>
        <v>0</v>
      </c>
      <c r="G57" s="114">
        <f t="shared" si="5"/>
        <v>-882.8</v>
      </c>
      <c r="H57" s="176">
        <f t="shared" si="6"/>
        <v>0</v>
      </c>
    </row>
    <row r="58" spans="1:11" ht="27.75" customHeight="1">
      <c r="A58" s="124" t="s">
        <v>419</v>
      </c>
      <c r="B58" s="171" t="s">
        <v>2</v>
      </c>
      <c r="C58" s="175">
        <v>1032</v>
      </c>
      <c r="D58" s="41"/>
      <c r="E58" s="19">
        <v>723.6</v>
      </c>
      <c r="F58" s="19"/>
      <c r="G58" s="114">
        <f t="shared" si="5"/>
        <v>-723.6</v>
      </c>
      <c r="H58" s="176">
        <f t="shared" si="6"/>
        <v>0</v>
      </c>
    </row>
    <row r="59" spans="1:11" ht="27.75" customHeight="1">
      <c r="A59" s="124" t="s">
        <v>420</v>
      </c>
      <c r="B59" s="171" t="s">
        <v>3</v>
      </c>
      <c r="C59" s="175">
        <v>1033</v>
      </c>
      <c r="D59" s="41"/>
      <c r="E59" s="19">
        <v>159.19999999999999</v>
      </c>
      <c r="F59" s="19"/>
      <c r="G59" s="114">
        <f t="shared" si="5"/>
        <v>-159.19999999999999</v>
      </c>
      <c r="H59" s="176">
        <f t="shared" si="6"/>
        <v>0</v>
      </c>
    </row>
    <row r="60" spans="1:11" ht="27.75" customHeight="1">
      <c r="A60" s="118" t="s">
        <v>106</v>
      </c>
      <c r="B60" s="122" t="s">
        <v>296</v>
      </c>
      <c r="C60" s="185"/>
      <c r="D60" s="14"/>
      <c r="E60" s="14">
        <f>E62+E96+E110</f>
        <v>1490.6999999999998</v>
      </c>
      <c r="F60" s="14">
        <f>F62+F96+F110</f>
        <v>618.69999999999993</v>
      </c>
      <c r="G60" s="111">
        <f t="shared" si="5"/>
        <v>-871.99999999999989</v>
      </c>
      <c r="H60" s="121">
        <f t="shared" si="6"/>
        <v>41.503991413429929</v>
      </c>
      <c r="K60" s="105"/>
    </row>
    <row r="61" spans="1:11" ht="25.5" customHeight="1">
      <c r="A61" s="124"/>
      <c r="B61" s="145" t="s">
        <v>86</v>
      </c>
      <c r="C61" s="175"/>
      <c r="D61" s="41"/>
      <c r="E61" s="41"/>
      <c r="F61" s="41"/>
      <c r="G61" s="114"/>
      <c r="H61" s="176"/>
    </row>
    <row r="62" spans="1:11" ht="27.75" customHeight="1">
      <c r="A62" s="118" t="s">
        <v>310</v>
      </c>
      <c r="B62" s="122" t="s">
        <v>90</v>
      </c>
      <c r="C62" s="185">
        <v>1010</v>
      </c>
      <c r="D62" s="14"/>
      <c r="E62" s="14">
        <f>E63+E70+E71+E73</f>
        <v>1252.0999999999999</v>
      </c>
      <c r="F62" s="14">
        <f>F63+F70+F71+F73+F72</f>
        <v>545.59999999999991</v>
      </c>
      <c r="G62" s="111">
        <f t="shared" si="5"/>
        <v>-706.5</v>
      </c>
      <c r="H62" s="121">
        <f t="shared" si="6"/>
        <v>43.574794345499555</v>
      </c>
    </row>
    <row r="63" spans="1:11" ht="27.75" customHeight="1">
      <c r="A63" s="124" t="s">
        <v>185</v>
      </c>
      <c r="B63" s="171" t="s">
        <v>107</v>
      </c>
      <c r="C63" s="175">
        <v>1011</v>
      </c>
      <c r="D63" s="41"/>
      <c r="E63" s="41">
        <f>SUM(E64:E69)</f>
        <v>434</v>
      </c>
      <c r="F63" s="41">
        <f>SUM(F64:F69)</f>
        <v>159.69999999999999</v>
      </c>
      <c r="G63" s="114">
        <f t="shared" si="5"/>
        <v>-274.3</v>
      </c>
      <c r="H63" s="176">
        <f t="shared" si="6"/>
        <v>36.797235023041473</v>
      </c>
    </row>
    <row r="64" spans="1:11" ht="27.75" customHeight="1">
      <c r="A64" s="124"/>
      <c r="B64" s="128" t="s">
        <v>139</v>
      </c>
      <c r="C64" s="178"/>
      <c r="D64" s="15"/>
      <c r="E64" s="15">
        <v>110</v>
      </c>
      <c r="F64" s="15">
        <v>21.4</v>
      </c>
      <c r="G64" s="129">
        <f t="shared" si="5"/>
        <v>-88.6</v>
      </c>
      <c r="H64" s="176">
        <f t="shared" si="6"/>
        <v>19.454545454545453</v>
      </c>
    </row>
    <row r="65" spans="1:11" ht="27.75" customHeight="1">
      <c r="A65" s="124"/>
      <c r="B65" s="128" t="s">
        <v>140</v>
      </c>
      <c r="C65" s="178"/>
      <c r="D65" s="15"/>
      <c r="E65" s="15">
        <v>60</v>
      </c>
      <c r="F65" s="15">
        <v>6.5</v>
      </c>
      <c r="G65" s="129">
        <f t="shared" si="5"/>
        <v>-53.5</v>
      </c>
      <c r="H65" s="176">
        <f t="shared" si="6"/>
        <v>10.833333333333334</v>
      </c>
    </row>
    <row r="66" spans="1:11" ht="27.75" customHeight="1">
      <c r="A66" s="124"/>
      <c r="B66" s="128" t="s">
        <v>297</v>
      </c>
      <c r="C66" s="178"/>
      <c r="D66" s="15"/>
      <c r="E66" s="15">
        <v>80</v>
      </c>
      <c r="F66" s="15"/>
      <c r="G66" s="129">
        <f t="shared" si="5"/>
        <v>-80</v>
      </c>
      <c r="H66" s="176">
        <f t="shared" si="6"/>
        <v>0</v>
      </c>
    </row>
    <row r="67" spans="1:11" ht="27.75" customHeight="1">
      <c r="A67" s="124"/>
      <c r="B67" s="128" t="s">
        <v>298</v>
      </c>
      <c r="C67" s="178"/>
      <c r="D67" s="15"/>
      <c r="E67" s="15">
        <v>65</v>
      </c>
      <c r="F67" s="15"/>
      <c r="G67" s="129">
        <f t="shared" si="5"/>
        <v>-65</v>
      </c>
      <c r="H67" s="176">
        <f t="shared" si="6"/>
        <v>0</v>
      </c>
    </row>
    <row r="68" spans="1:11" ht="39" customHeight="1">
      <c r="A68" s="124"/>
      <c r="B68" s="128" t="s">
        <v>163</v>
      </c>
      <c r="C68" s="178"/>
      <c r="D68" s="15"/>
      <c r="E68" s="15">
        <v>105</v>
      </c>
      <c r="F68" s="15">
        <v>102.8</v>
      </c>
      <c r="G68" s="129">
        <f t="shared" si="5"/>
        <v>-2.2000000000000028</v>
      </c>
      <c r="H68" s="176">
        <f t="shared" si="6"/>
        <v>97.904761904761912</v>
      </c>
    </row>
    <row r="69" spans="1:11" ht="25.5" customHeight="1">
      <c r="A69" s="124"/>
      <c r="B69" s="187" t="s">
        <v>164</v>
      </c>
      <c r="C69" s="178"/>
      <c r="D69" s="15"/>
      <c r="E69" s="15">
        <v>14</v>
      </c>
      <c r="F69" s="15">
        <v>29</v>
      </c>
      <c r="G69" s="129">
        <f t="shared" si="5"/>
        <v>15</v>
      </c>
      <c r="H69" s="176">
        <f t="shared" si="6"/>
        <v>207.14285714285717</v>
      </c>
    </row>
    <row r="70" spans="1:11" ht="25.5" customHeight="1">
      <c r="A70" s="124" t="s">
        <v>311</v>
      </c>
      <c r="B70" s="188" t="s">
        <v>2</v>
      </c>
      <c r="C70" s="175">
        <v>1012</v>
      </c>
      <c r="D70" s="41"/>
      <c r="E70" s="41">
        <v>215.4</v>
      </c>
      <c r="F70" s="41">
        <v>170.8</v>
      </c>
      <c r="G70" s="114">
        <f t="shared" si="5"/>
        <v>-44.599999999999994</v>
      </c>
      <c r="H70" s="176">
        <f t="shared" si="6"/>
        <v>79.294336118848648</v>
      </c>
      <c r="K70" s="189"/>
    </row>
    <row r="71" spans="1:11" ht="25.5" customHeight="1">
      <c r="A71" s="124" t="s">
        <v>312</v>
      </c>
      <c r="B71" s="188" t="s">
        <v>3</v>
      </c>
      <c r="C71" s="175">
        <v>1013</v>
      </c>
      <c r="D71" s="41"/>
      <c r="E71" s="41">
        <v>55.2</v>
      </c>
      <c r="F71" s="41">
        <v>37.6</v>
      </c>
      <c r="G71" s="114">
        <f t="shared" si="5"/>
        <v>-17.600000000000001</v>
      </c>
      <c r="H71" s="176">
        <f t="shared" si="6"/>
        <v>68.115942028985515</v>
      </c>
    </row>
    <row r="72" spans="1:11" ht="25.5" customHeight="1">
      <c r="A72" s="124" t="s">
        <v>313</v>
      </c>
      <c r="B72" s="188" t="s">
        <v>4</v>
      </c>
      <c r="C72" s="175">
        <v>1014</v>
      </c>
      <c r="D72" s="41"/>
      <c r="E72" s="41"/>
      <c r="F72" s="41">
        <v>19.3</v>
      </c>
      <c r="G72" s="114">
        <f t="shared" si="5"/>
        <v>19.3</v>
      </c>
      <c r="H72" s="176" t="e">
        <f t="shared" si="6"/>
        <v>#DIV/0!</v>
      </c>
    </row>
    <row r="73" spans="1:11" ht="25.5" customHeight="1">
      <c r="A73" s="124" t="s">
        <v>340</v>
      </c>
      <c r="B73" s="125" t="s">
        <v>98</v>
      </c>
      <c r="C73" s="175">
        <v>1015</v>
      </c>
      <c r="D73" s="41"/>
      <c r="E73" s="41">
        <f>SUM(E74:E95)</f>
        <v>547.5</v>
      </c>
      <c r="F73" s="41">
        <f>SUM(F74:F95)</f>
        <v>158.19999999999999</v>
      </c>
      <c r="G73" s="114">
        <f t="shared" si="5"/>
        <v>-389.3</v>
      </c>
      <c r="H73" s="176">
        <f t="shared" si="6"/>
        <v>28.894977168949769</v>
      </c>
      <c r="J73" s="105"/>
    </row>
    <row r="74" spans="1:11" ht="25.5" customHeight="1">
      <c r="A74" s="118"/>
      <c r="B74" s="190" t="s">
        <v>147</v>
      </c>
      <c r="C74" s="178"/>
      <c r="D74" s="15"/>
      <c r="E74" s="15">
        <v>12.6</v>
      </c>
      <c r="F74" s="15">
        <v>0.2</v>
      </c>
      <c r="G74" s="129">
        <f t="shared" si="5"/>
        <v>-12.4</v>
      </c>
      <c r="H74" s="176">
        <f t="shared" si="6"/>
        <v>1.5873015873015877</v>
      </c>
    </row>
    <row r="75" spans="1:11" ht="25.5" customHeight="1">
      <c r="A75" s="118"/>
      <c r="B75" s="190" t="s">
        <v>148</v>
      </c>
      <c r="C75" s="178"/>
      <c r="D75" s="15"/>
      <c r="E75" s="15">
        <v>12.6</v>
      </c>
      <c r="F75" s="15"/>
      <c r="G75" s="129">
        <f t="shared" si="5"/>
        <v>-12.6</v>
      </c>
      <c r="H75" s="176">
        <f t="shared" si="6"/>
        <v>0</v>
      </c>
    </row>
    <row r="76" spans="1:11" ht="25.5" customHeight="1">
      <c r="A76" s="118"/>
      <c r="B76" s="190" t="s">
        <v>151</v>
      </c>
      <c r="C76" s="178"/>
      <c r="D76" s="15"/>
      <c r="E76" s="15">
        <v>12</v>
      </c>
      <c r="F76" s="15"/>
      <c r="G76" s="129">
        <f t="shared" si="5"/>
        <v>-12</v>
      </c>
      <c r="H76" s="176">
        <f t="shared" si="6"/>
        <v>0</v>
      </c>
    </row>
    <row r="77" spans="1:11" ht="25.5" customHeight="1">
      <c r="A77" s="118"/>
      <c r="B77" s="190" t="s">
        <v>152</v>
      </c>
      <c r="C77" s="178"/>
      <c r="D77" s="15"/>
      <c r="E77" s="15">
        <v>60</v>
      </c>
      <c r="F77" s="15">
        <v>10.1</v>
      </c>
      <c r="G77" s="129">
        <f t="shared" si="5"/>
        <v>-49.9</v>
      </c>
      <c r="H77" s="176">
        <f t="shared" si="6"/>
        <v>16.833333333333332</v>
      </c>
    </row>
    <row r="78" spans="1:11" ht="25.5" customHeight="1">
      <c r="A78" s="118"/>
      <c r="B78" s="190" t="s">
        <v>299</v>
      </c>
      <c r="C78" s="178"/>
      <c r="D78" s="15"/>
      <c r="E78" s="15">
        <v>12.6</v>
      </c>
      <c r="F78" s="15">
        <v>12.7</v>
      </c>
      <c r="G78" s="129">
        <f t="shared" si="5"/>
        <v>9.9999999999999645E-2</v>
      </c>
      <c r="H78" s="176">
        <f t="shared" si="6"/>
        <v>100.79365079365078</v>
      </c>
    </row>
    <row r="79" spans="1:11" ht="25.5" customHeight="1">
      <c r="A79" s="118"/>
      <c r="B79" s="190" t="s">
        <v>166</v>
      </c>
      <c r="C79" s="178"/>
      <c r="D79" s="15"/>
      <c r="E79" s="15">
        <v>1.6</v>
      </c>
      <c r="F79" s="15"/>
      <c r="G79" s="129">
        <f t="shared" si="5"/>
        <v>-1.6</v>
      </c>
      <c r="H79" s="176">
        <f t="shared" si="6"/>
        <v>0</v>
      </c>
    </row>
    <row r="80" spans="1:11" ht="25.5" customHeight="1">
      <c r="A80" s="118"/>
      <c r="B80" s="190" t="s">
        <v>167</v>
      </c>
      <c r="C80" s="178"/>
      <c r="D80" s="15"/>
      <c r="E80" s="15">
        <v>20</v>
      </c>
      <c r="F80" s="15"/>
      <c r="G80" s="129">
        <f t="shared" si="5"/>
        <v>-20</v>
      </c>
      <c r="H80" s="176">
        <f t="shared" si="6"/>
        <v>0</v>
      </c>
    </row>
    <row r="81" spans="1:8" ht="25.5" customHeight="1">
      <c r="A81" s="118"/>
      <c r="B81" s="190" t="s">
        <v>154</v>
      </c>
      <c r="C81" s="178"/>
      <c r="D81" s="15"/>
      <c r="E81" s="15">
        <v>17.399999999999999</v>
      </c>
      <c r="F81" s="15">
        <v>24.7</v>
      </c>
      <c r="G81" s="129">
        <f t="shared" si="5"/>
        <v>7.3000000000000007</v>
      </c>
      <c r="H81" s="176">
        <f t="shared" si="6"/>
        <v>141.95402298850576</v>
      </c>
    </row>
    <row r="82" spans="1:8" ht="25.5" customHeight="1">
      <c r="A82" s="118"/>
      <c r="B82" s="190" t="s">
        <v>168</v>
      </c>
      <c r="C82" s="178"/>
      <c r="D82" s="15"/>
      <c r="E82" s="15">
        <v>75</v>
      </c>
      <c r="F82" s="15">
        <v>2.7</v>
      </c>
      <c r="G82" s="129">
        <f t="shared" si="5"/>
        <v>-72.3</v>
      </c>
      <c r="H82" s="176">
        <f t="shared" si="6"/>
        <v>3.6000000000000005</v>
      </c>
    </row>
    <row r="83" spans="1:8" ht="25.5" customHeight="1">
      <c r="A83" s="118"/>
      <c r="B83" s="190" t="s">
        <v>242</v>
      </c>
      <c r="C83" s="178"/>
      <c r="D83" s="15"/>
      <c r="E83" s="15">
        <v>7.6</v>
      </c>
      <c r="F83" s="15"/>
      <c r="G83" s="129">
        <f t="shared" ref="G83:G157" si="24">F83-E83</f>
        <v>-7.6</v>
      </c>
      <c r="H83" s="176">
        <f t="shared" ref="H83:H157" si="25">(F83/E83)*100</f>
        <v>0</v>
      </c>
    </row>
    <row r="84" spans="1:8" ht="25.5" customHeight="1">
      <c r="A84" s="118"/>
      <c r="B84" s="190" t="s">
        <v>153</v>
      </c>
      <c r="C84" s="178"/>
      <c r="D84" s="15"/>
      <c r="E84" s="15">
        <v>15</v>
      </c>
      <c r="F84" s="15"/>
      <c r="G84" s="129">
        <f t="shared" si="24"/>
        <v>-15</v>
      </c>
      <c r="H84" s="176">
        <f t="shared" si="25"/>
        <v>0</v>
      </c>
    </row>
    <row r="85" spans="1:8" ht="25.5" customHeight="1">
      <c r="A85" s="118"/>
      <c r="B85" s="191" t="s">
        <v>300</v>
      </c>
      <c r="C85" s="178"/>
      <c r="D85" s="15"/>
      <c r="E85" s="15">
        <v>75</v>
      </c>
      <c r="F85" s="15">
        <v>75.599999999999994</v>
      </c>
      <c r="G85" s="129">
        <f t="shared" si="24"/>
        <v>0.59999999999999432</v>
      </c>
      <c r="H85" s="176">
        <f t="shared" si="25"/>
        <v>100.8</v>
      </c>
    </row>
    <row r="86" spans="1:8" ht="25.5" customHeight="1">
      <c r="A86" s="118"/>
      <c r="B86" s="187" t="s">
        <v>155</v>
      </c>
      <c r="C86" s="178"/>
      <c r="D86" s="15"/>
      <c r="E86" s="15">
        <v>15.2</v>
      </c>
      <c r="F86" s="15"/>
      <c r="G86" s="129">
        <f t="shared" si="24"/>
        <v>-15.2</v>
      </c>
      <c r="H86" s="176">
        <f t="shared" si="25"/>
        <v>0</v>
      </c>
    </row>
    <row r="87" spans="1:8" ht="27.75" customHeight="1">
      <c r="A87" s="118"/>
      <c r="B87" s="128" t="s">
        <v>170</v>
      </c>
      <c r="C87" s="178"/>
      <c r="D87" s="15"/>
      <c r="E87" s="15">
        <v>17.5</v>
      </c>
      <c r="F87" s="15"/>
      <c r="G87" s="129">
        <f t="shared" si="24"/>
        <v>-17.5</v>
      </c>
      <c r="H87" s="176">
        <f t="shared" si="25"/>
        <v>0</v>
      </c>
    </row>
    <row r="88" spans="1:8" ht="27.75" customHeight="1">
      <c r="A88" s="118"/>
      <c r="B88" s="128" t="s">
        <v>171</v>
      </c>
      <c r="C88" s="178"/>
      <c r="D88" s="15"/>
      <c r="E88" s="15">
        <v>4</v>
      </c>
      <c r="F88" s="15"/>
      <c r="G88" s="129">
        <f t="shared" si="24"/>
        <v>-4</v>
      </c>
      <c r="H88" s="176">
        <f t="shared" si="25"/>
        <v>0</v>
      </c>
    </row>
    <row r="89" spans="1:8" ht="27.75" customHeight="1">
      <c r="A89" s="118"/>
      <c r="B89" s="128" t="s">
        <v>304</v>
      </c>
      <c r="C89" s="178"/>
      <c r="D89" s="15"/>
      <c r="E89" s="15"/>
      <c r="F89" s="15">
        <v>1.5</v>
      </c>
      <c r="G89" s="129">
        <f t="shared" si="24"/>
        <v>1.5</v>
      </c>
      <c r="H89" s="176" t="e">
        <f t="shared" si="25"/>
        <v>#DIV/0!</v>
      </c>
    </row>
    <row r="90" spans="1:8" ht="27.75" customHeight="1">
      <c r="A90" s="118"/>
      <c r="B90" s="128" t="s">
        <v>414</v>
      </c>
      <c r="C90" s="178"/>
      <c r="D90" s="15"/>
      <c r="E90" s="15"/>
      <c r="F90" s="15">
        <v>13.6</v>
      </c>
      <c r="G90" s="129"/>
      <c r="H90" s="176"/>
    </row>
    <row r="91" spans="1:8" ht="27.75" customHeight="1">
      <c r="A91" s="118"/>
      <c r="B91" s="128" t="s">
        <v>244</v>
      </c>
      <c r="C91" s="178"/>
      <c r="D91" s="15"/>
      <c r="E91" s="15">
        <v>1.5</v>
      </c>
      <c r="F91" s="15">
        <v>4.5</v>
      </c>
      <c r="G91" s="129">
        <f t="shared" si="24"/>
        <v>3</v>
      </c>
      <c r="H91" s="176">
        <f t="shared" si="25"/>
        <v>300</v>
      </c>
    </row>
    <row r="92" spans="1:8" ht="27.75" customHeight="1">
      <c r="A92" s="118"/>
      <c r="B92" s="191" t="s">
        <v>174</v>
      </c>
      <c r="C92" s="178"/>
      <c r="D92" s="15"/>
      <c r="E92" s="15">
        <v>108.3</v>
      </c>
      <c r="F92" s="15"/>
      <c r="G92" s="129">
        <f t="shared" si="24"/>
        <v>-108.3</v>
      </c>
      <c r="H92" s="176">
        <f t="shared" si="25"/>
        <v>0</v>
      </c>
    </row>
    <row r="93" spans="1:8" ht="27.75" customHeight="1">
      <c r="A93" s="118"/>
      <c r="B93" s="192" t="s">
        <v>175</v>
      </c>
      <c r="C93" s="178"/>
      <c r="D93" s="15"/>
      <c r="E93" s="15">
        <v>8.4</v>
      </c>
      <c r="F93" s="15">
        <v>3.7</v>
      </c>
      <c r="G93" s="129">
        <f t="shared" si="24"/>
        <v>-4.7</v>
      </c>
      <c r="H93" s="176">
        <f t="shared" si="25"/>
        <v>44.047619047619044</v>
      </c>
    </row>
    <row r="94" spans="1:8" ht="27.75" customHeight="1">
      <c r="A94" s="118"/>
      <c r="B94" s="133" t="s">
        <v>176</v>
      </c>
      <c r="C94" s="178"/>
      <c r="D94" s="15"/>
      <c r="E94" s="15">
        <v>66.599999999999994</v>
      </c>
      <c r="F94" s="15">
        <v>8.9</v>
      </c>
      <c r="G94" s="129">
        <f t="shared" si="24"/>
        <v>-57.699999999999996</v>
      </c>
      <c r="H94" s="176">
        <f t="shared" si="25"/>
        <v>13.363363363363364</v>
      </c>
    </row>
    <row r="95" spans="1:8" ht="27.75" customHeight="1">
      <c r="A95" s="118"/>
      <c r="B95" s="192" t="s">
        <v>177</v>
      </c>
      <c r="C95" s="175"/>
      <c r="D95" s="41"/>
      <c r="E95" s="15">
        <v>4.5999999999999996</v>
      </c>
      <c r="F95" s="41"/>
      <c r="G95" s="114">
        <f t="shared" si="24"/>
        <v>-4.5999999999999996</v>
      </c>
      <c r="H95" s="176">
        <f t="shared" si="25"/>
        <v>0</v>
      </c>
    </row>
    <row r="96" spans="1:8" ht="27.75" customHeight="1">
      <c r="A96" s="118" t="s">
        <v>314</v>
      </c>
      <c r="B96" s="132" t="s">
        <v>92</v>
      </c>
      <c r="C96" s="123">
        <v>1020</v>
      </c>
      <c r="D96" s="41"/>
      <c r="E96" s="41">
        <f>E97+E100</f>
        <v>182.6</v>
      </c>
      <c r="F96" s="41">
        <f>F97+F100</f>
        <v>72.499999999999986</v>
      </c>
      <c r="G96" s="114">
        <f t="shared" si="24"/>
        <v>-110.10000000000001</v>
      </c>
      <c r="H96" s="176">
        <f t="shared" si="25"/>
        <v>39.704271631982465</v>
      </c>
    </row>
    <row r="97" spans="1:8" ht="27.75" customHeight="1">
      <c r="A97" s="124" t="s">
        <v>315</v>
      </c>
      <c r="B97" s="193" t="s">
        <v>107</v>
      </c>
      <c r="C97" s="126">
        <v>1021</v>
      </c>
      <c r="D97" s="41"/>
      <c r="E97" s="41">
        <f>E98+E99</f>
        <v>35</v>
      </c>
      <c r="F97" s="41">
        <f>F98+F99</f>
        <v>4.8</v>
      </c>
      <c r="G97" s="114">
        <f t="shared" si="24"/>
        <v>-30.2</v>
      </c>
      <c r="H97" s="176">
        <f t="shared" si="25"/>
        <v>13.714285714285715</v>
      </c>
    </row>
    <row r="98" spans="1:8" ht="40.5" customHeight="1">
      <c r="A98" s="124"/>
      <c r="B98" s="128" t="s">
        <v>163</v>
      </c>
      <c r="C98" s="120"/>
      <c r="D98" s="41"/>
      <c r="E98" s="15">
        <v>20</v>
      </c>
      <c r="F98" s="15">
        <v>0.9</v>
      </c>
      <c r="G98" s="114">
        <f t="shared" si="24"/>
        <v>-19.100000000000001</v>
      </c>
      <c r="H98" s="176">
        <f t="shared" si="25"/>
        <v>4.5</v>
      </c>
    </row>
    <row r="99" spans="1:8" ht="27.75" customHeight="1">
      <c r="A99" s="124"/>
      <c r="B99" s="190" t="s">
        <v>164</v>
      </c>
      <c r="C99" s="120"/>
      <c r="D99" s="41"/>
      <c r="E99" s="15">
        <v>15</v>
      </c>
      <c r="F99" s="15">
        <v>3.9</v>
      </c>
      <c r="G99" s="114">
        <f t="shared" si="24"/>
        <v>-11.1</v>
      </c>
      <c r="H99" s="176">
        <f t="shared" si="25"/>
        <v>26</v>
      </c>
    </row>
    <row r="100" spans="1:8" ht="27.75" customHeight="1">
      <c r="A100" s="124" t="s">
        <v>316</v>
      </c>
      <c r="B100" s="125" t="s">
        <v>179</v>
      </c>
      <c r="C100" s="126">
        <v>1025</v>
      </c>
      <c r="D100" s="41"/>
      <c r="E100" s="41">
        <f>SUM(E101:E109)</f>
        <v>147.6</v>
      </c>
      <c r="F100" s="41">
        <f>SUM(F101:F109)</f>
        <v>67.699999999999989</v>
      </c>
      <c r="G100" s="114">
        <f t="shared" si="24"/>
        <v>-79.900000000000006</v>
      </c>
      <c r="H100" s="176">
        <f t="shared" si="25"/>
        <v>45.867208672086711</v>
      </c>
    </row>
    <row r="101" spans="1:8" ht="27.75" customHeight="1">
      <c r="A101" s="118"/>
      <c r="B101" s="194" t="s">
        <v>155</v>
      </c>
      <c r="C101" s="120"/>
      <c r="D101" s="41"/>
      <c r="E101" s="15">
        <v>3.8</v>
      </c>
      <c r="F101" s="15">
        <v>38</v>
      </c>
      <c r="G101" s="114">
        <f t="shared" si="24"/>
        <v>34.200000000000003</v>
      </c>
      <c r="H101" s="176">
        <f t="shared" si="25"/>
        <v>1000</v>
      </c>
    </row>
    <row r="102" spans="1:8" ht="27.75" customHeight="1">
      <c r="A102" s="118"/>
      <c r="B102" s="190" t="s">
        <v>168</v>
      </c>
      <c r="C102" s="120"/>
      <c r="D102" s="41"/>
      <c r="E102" s="15">
        <v>15</v>
      </c>
      <c r="F102" s="15">
        <v>0.9</v>
      </c>
      <c r="G102" s="114">
        <f t="shared" si="24"/>
        <v>-14.1</v>
      </c>
      <c r="H102" s="176">
        <f t="shared" si="25"/>
        <v>6.0000000000000009</v>
      </c>
    </row>
    <row r="103" spans="1:8" ht="27.75" customHeight="1">
      <c r="A103" s="118"/>
      <c r="B103" s="190" t="s">
        <v>160</v>
      </c>
      <c r="C103" s="120"/>
      <c r="D103" s="41"/>
      <c r="E103" s="15">
        <v>2.4</v>
      </c>
      <c r="F103" s="15">
        <v>13.6</v>
      </c>
      <c r="G103" s="114">
        <f t="shared" si="24"/>
        <v>11.2</v>
      </c>
      <c r="H103" s="176">
        <f t="shared" si="25"/>
        <v>566.66666666666674</v>
      </c>
    </row>
    <row r="104" spans="1:8" ht="27.75" customHeight="1">
      <c r="A104" s="118"/>
      <c r="B104" s="190" t="s">
        <v>176</v>
      </c>
      <c r="C104" s="120"/>
      <c r="D104" s="41"/>
      <c r="E104" s="15"/>
      <c r="F104" s="15">
        <v>5.6</v>
      </c>
      <c r="G104" s="114"/>
      <c r="H104" s="176"/>
    </row>
    <row r="105" spans="1:8" ht="27.75" customHeight="1">
      <c r="A105" s="118"/>
      <c r="B105" s="190" t="s">
        <v>359</v>
      </c>
      <c r="C105" s="120"/>
      <c r="D105" s="41"/>
      <c r="E105" s="15">
        <v>25</v>
      </c>
      <c r="F105" s="15"/>
      <c r="G105" s="114"/>
      <c r="H105" s="176"/>
    </row>
    <row r="106" spans="1:8" ht="27.75" customHeight="1">
      <c r="A106" s="118"/>
      <c r="B106" s="128" t="s">
        <v>170</v>
      </c>
      <c r="C106" s="120"/>
      <c r="D106" s="41"/>
      <c r="E106" s="15"/>
      <c r="F106" s="15">
        <v>6.2</v>
      </c>
      <c r="G106" s="114">
        <f t="shared" si="24"/>
        <v>6.2</v>
      </c>
      <c r="H106" s="176" t="e">
        <f t="shared" si="25"/>
        <v>#DIV/0!</v>
      </c>
    </row>
    <row r="107" spans="1:8" ht="27.75" customHeight="1">
      <c r="A107" s="118"/>
      <c r="B107" s="190" t="s">
        <v>301</v>
      </c>
      <c r="C107" s="120"/>
      <c r="D107" s="41"/>
      <c r="E107" s="15">
        <v>100</v>
      </c>
      <c r="F107" s="41"/>
      <c r="G107" s="114">
        <f t="shared" si="24"/>
        <v>-100</v>
      </c>
      <c r="H107" s="176">
        <f t="shared" si="25"/>
        <v>0</v>
      </c>
    </row>
    <row r="108" spans="1:8" ht="27.75" customHeight="1">
      <c r="A108" s="118"/>
      <c r="B108" s="190" t="s">
        <v>305</v>
      </c>
      <c r="C108" s="120"/>
      <c r="D108" s="41"/>
      <c r="E108" s="15"/>
      <c r="F108" s="15">
        <v>2.2999999999999998</v>
      </c>
      <c r="G108" s="114">
        <f t="shared" si="24"/>
        <v>2.2999999999999998</v>
      </c>
      <c r="H108" s="176" t="e">
        <f t="shared" si="25"/>
        <v>#DIV/0!</v>
      </c>
    </row>
    <row r="109" spans="1:8" ht="27.75" customHeight="1">
      <c r="A109" s="118"/>
      <c r="B109" s="190" t="s">
        <v>302</v>
      </c>
      <c r="C109" s="120"/>
      <c r="D109" s="41"/>
      <c r="E109" s="15">
        <v>1.4</v>
      </c>
      <c r="F109" s="15">
        <v>1.1000000000000001</v>
      </c>
      <c r="G109" s="114">
        <f t="shared" si="24"/>
        <v>-0.29999999999999982</v>
      </c>
      <c r="H109" s="176">
        <f t="shared" si="25"/>
        <v>78.571428571428584</v>
      </c>
    </row>
    <row r="110" spans="1:8" ht="27.75" customHeight="1">
      <c r="A110" s="118" t="s">
        <v>317</v>
      </c>
      <c r="B110" s="195" t="s">
        <v>93</v>
      </c>
      <c r="C110" s="123">
        <v>1030</v>
      </c>
      <c r="D110" s="41"/>
      <c r="E110" s="41">
        <f>E111</f>
        <v>56</v>
      </c>
      <c r="F110" s="41">
        <f>F111</f>
        <v>0.6</v>
      </c>
      <c r="G110" s="114">
        <f t="shared" si="24"/>
        <v>-55.4</v>
      </c>
      <c r="H110" s="176">
        <f t="shared" si="25"/>
        <v>1.0714285714285714</v>
      </c>
    </row>
    <row r="111" spans="1:8" ht="27.75" customHeight="1">
      <c r="A111" s="124" t="s">
        <v>318</v>
      </c>
      <c r="B111" s="196" t="s">
        <v>93</v>
      </c>
      <c r="C111" s="175">
        <v>1035</v>
      </c>
      <c r="D111" s="41"/>
      <c r="E111" s="41">
        <f>E112+E114</f>
        <v>56</v>
      </c>
      <c r="F111" s="41">
        <f>F112+F114+F113</f>
        <v>0.6</v>
      </c>
      <c r="G111" s="114">
        <f t="shared" si="24"/>
        <v>-55.4</v>
      </c>
      <c r="H111" s="176">
        <f t="shared" si="25"/>
        <v>1.0714285714285714</v>
      </c>
    </row>
    <row r="112" spans="1:8" ht="27.75" customHeight="1">
      <c r="A112" s="118"/>
      <c r="B112" s="197" t="s">
        <v>187</v>
      </c>
      <c r="C112" s="120"/>
      <c r="D112" s="41"/>
      <c r="E112" s="15">
        <v>50</v>
      </c>
      <c r="F112" s="41"/>
      <c r="G112" s="114">
        <f t="shared" si="24"/>
        <v>-50</v>
      </c>
      <c r="H112" s="176">
        <f t="shared" si="25"/>
        <v>0</v>
      </c>
    </row>
    <row r="113" spans="1:8" ht="27.75" customHeight="1">
      <c r="A113" s="118"/>
      <c r="B113" s="197" t="s">
        <v>368</v>
      </c>
      <c r="C113" s="120"/>
      <c r="D113" s="41"/>
      <c r="E113" s="15"/>
      <c r="F113" s="15">
        <v>0.6</v>
      </c>
      <c r="G113" s="114"/>
      <c r="H113" s="176"/>
    </row>
    <row r="114" spans="1:8" ht="27.75" customHeight="1">
      <c r="A114" s="118"/>
      <c r="B114" s="197" t="s">
        <v>303</v>
      </c>
      <c r="C114" s="120"/>
      <c r="D114" s="41"/>
      <c r="E114" s="15">
        <v>6</v>
      </c>
      <c r="F114" s="41"/>
      <c r="G114" s="114">
        <f t="shared" si="24"/>
        <v>-6</v>
      </c>
      <c r="H114" s="176">
        <f t="shared" si="25"/>
        <v>0</v>
      </c>
    </row>
    <row r="115" spans="1:8" ht="41.25" customHeight="1">
      <c r="A115" s="118" t="s">
        <v>236</v>
      </c>
      <c r="B115" s="122" t="s">
        <v>260</v>
      </c>
      <c r="C115" s="185"/>
      <c r="D115" s="14">
        <f>D117</f>
        <v>163.9</v>
      </c>
      <c r="E115" s="14">
        <f>E117</f>
        <v>0</v>
      </c>
      <c r="F115" s="14"/>
      <c r="G115" s="111">
        <f t="shared" si="24"/>
        <v>0</v>
      </c>
      <c r="H115" s="121" t="e">
        <f t="shared" si="25"/>
        <v>#DIV/0!</v>
      </c>
    </row>
    <row r="116" spans="1:8" ht="23.25" customHeight="1">
      <c r="A116" s="124"/>
      <c r="B116" s="145" t="s">
        <v>86</v>
      </c>
      <c r="C116" s="175"/>
      <c r="D116" s="41"/>
      <c r="E116" s="41"/>
      <c r="F116" s="41"/>
      <c r="G116" s="114"/>
      <c r="H116" s="176"/>
    </row>
    <row r="117" spans="1:8" ht="27" customHeight="1">
      <c r="A117" s="118" t="s">
        <v>254</v>
      </c>
      <c r="B117" s="122" t="s">
        <v>90</v>
      </c>
      <c r="C117" s="185">
        <v>1010</v>
      </c>
      <c r="D117" s="14">
        <f>D118+D124</f>
        <v>163.9</v>
      </c>
      <c r="E117" s="14">
        <f>E118+E124</f>
        <v>0</v>
      </c>
      <c r="F117" s="14">
        <f>F118+F124</f>
        <v>0</v>
      </c>
      <c r="G117" s="111">
        <f t="shared" si="24"/>
        <v>0</v>
      </c>
      <c r="H117" s="121" t="e">
        <f t="shared" si="25"/>
        <v>#DIV/0!</v>
      </c>
    </row>
    <row r="118" spans="1:8" ht="25.5" customHeight="1">
      <c r="A118" s="124" t="s">
        <v>255</v>
      </c>
      <c r="B118" s="171" t="s">
        <v>107</v>
      </c>
      <c r="C118" s="175">
        <v>1011</v>
      </c>
      <c r="D118" s="41">
        <f>SUM(D119:D123)</f>
        <v>134</v>
      </c>
      <c r="E118" s="41">
        <f>SUM(E119:E123)</f>
        <v>0</v>
      </c>
      <c r="F118" s="41">
        <f>SUM(F119:F123)</f>
        <v>0</v>
      </c>
      <c r="G118" s="114">
        <f t="shared" si="24"/>
        <v>0</v>
      </c>
      <c r="H118" s="176" t="e">
        <f t="shared" si="25"/>
        <v>#DIV/0!</v>
      </c>
    </row>
    <row r="119" spans="1:8" ht="23.25" customHeight="1">
      <c r="A119" s="124"/>
      <c r="B119" s="128" t="s">
        <v>139</v>
      </c>
      <c r="C119" s="175"/>
      <c r="D119" s="15">
        <v>43.4</v>
      </c>
      <c r="E119" s="41"/>
      <c r="F119" s="15"/>
      <c r="G119" s="114">
        <f t="shared" si="24"/>
        <v>0</v>
      </c>
      <c r="H119" s="176" t="e">
        <f t="shared" si="25"/>
        <v>#DIV/0!</v>
      </c>
    </row>
    <row r="120" spans="1:8" ht="23.25" customHeight="1">
      <c r="A120" s="124"/>
      <c r="B120" s="128" t="s">
        <v>140</v>
      </c>
      <c r="C120" s="175"/>
      <c r="D120" s="15">
        <v>20.7</v>
      </c>
      <c r="E120" s="41"/>
      <c r="F120" s="15"/>
      <c r="G120" s="114">
        <f t="shared" si="24"/>
        <v>0</v>
      </c>
      <c r="H120" s="176" t="e">
        <f t="shared" si="25"/>
        <v>#DIV/0!</v>
      </c>
    </row>
    <row r="121" spans="1:8" ht="23.25" customHeight="1">
      <c r="A121" s="124"/>
      <c r="B121" s="128" t="s">
        <v>241</v>
      </c>
      <c r="C121" s="175"/>
      <c r="D121" s="15">
        <v>6.8</v>
      </c>
      <c r="E121" s="41"/>
      <c r="F121" s="15"/>
      <c r="G121" s="114">
        <f t="shared" si="24"/>
        <v>0</v>
      </c>
      <c r="H121" s="176" t="e">
        <f t="shared" si="25"/>
        <v>#DIV/0!</v>
      </c>
    </row>
    <row r="122" spans="1:8" ht="39.75" customHeight="1">
      <c r="A122" s="124"/>
      <c r="B122" s="128" t="s">
        <v>163</v>
      </c>
      <c r="C122" s="175"/>
      <c r="D122" s="15">
        <v>56.1</v>
      </c>
      <c r="E122" s="41"/>
      <c r="F122" s="15"/>
      <c r="G122" s="114">
        <f t="shared" si="24"/>
        <v>0</v>
      </c>
      <c r="H122" s="176" t="e">
        <f t="shared" si="25"/>
        <v>#DIV/0!</v>
      </c>
    </row>
    <row r="123" spans="1:8" ht="28.5" customHeight="1">
      <c r="A123" s="124"/>
      <c r="B123" s="128" t="s">
        <v>164</v>
      </c>
      <c r="C123" s="175"/>
      <c r="D123" s="15">
        <v>7</v>
      </c>
      <c r="E123" s="41"/>
      <c r="F123" s="15"/>
      <c r="G123" s="114">
        <f t="shared" si="24"/>
        <v>0</v>
      </c>
      <c r="H123" s="176" t="e">
        <f t="shared" si="25"/>
        <v>#DIV/0!</v>
      </c>
    </row>
    <row r="124" spans="1:8" ht="23.25" customHeight="1">
      <c r="A124" s="124" t="s">
        <v>319</v>
      </c>
      <c r="B124" s="131" t="s">
        <v>98</v>
      </c>
      <c r="C124" s="51">
        <v>1015</v>
      </c>
      <c r="D124" s="41">
        <f>SUM(D125:D126)</f>
        <v>29.9</v>
      </c>
      <c r="E124" s="41">
        <f>SUM(E125:E126)</f>
        <v>0</v>
      </c>
      <c r="F124" s="41">
        <f>SUM(F125:F126)</f>
        <v>0</v>
      </c>
      <c r="G124" s="114">
        <f t="shared" si="24"/>
        <v>0</v>
      </c>
      <c r="H124" s="176" t="e">
        <f t="shared" si="25"/>
        <v>#DIV/0!</v>
      </c>
    </row>
    <row r="125" spans="1:8" ht="23.25" customHeight="1">
      <c r="A125" s="124"/>
      <c r="B125" s="128" t="s">
        <v>152</v>
      </c>
      <c r="C125" s="178"/>
      <c r="D125" s="15">
        <v>25.8</v>
      </c>
      <c r="E125" s="15"/>
      <c r="F125" s="15"/>
      <c r="G125" s="114">
        <f t="shared" si="24"/>
        <v>0</v>
      </c>
      <c r="H125" s="176" t="e">
        <f t="shared" si="25"/>
        <v>#DIV/0!</v>
      </c>
    </row>
    <row r="126" spans="1:8" ht="23.25" customHeight="1">
      <c r="A126" s="124"/>
      <c r="B126" s="128" t="s">
        <v>170</v>
      </c>
      <c r="C126" s="178"/>
      <c r="D126" s="15">
        <v>4.0999999999999996</v>
      </c>
      <c r="E126" s="15"/>
      <c r="F126" s="15"/>
      <c r="G126" s="114">
        <f t="shared" si="24"/>
        <v>0</v>
      </c>
      <c r="H126" s="176" t="e">
        <f t="shared" si="25"/>
        <v>#DIV/0!</v>
      </c>
    </row>
    <row r="127" spans="1:8" ht="44.25" customHeight="1">
      <c r="A127" s="184" t="s">
        <v>256</v>
      </c>
      <c r="B127" s="122" t="s">
        <v>246</v>
      </c>
      <c r="C127" s="84"/>
      <c r="D127" s="14">
        <f>D129+D150+D160</f>
        <v>357.79999999999995</v>
      </c>
      <c r="E127" s="14">
        <f>E129+E150+E160</f>
        <v>0</v>
      </c>
      <c r="F127" s="14">
        <f>F129+F150+F160</f>
        <v>0</v>
      </c>
      <c r="G127" s="111">
        <f t="shared" si="24"/>
        <v>0</v>
      </c>
      <c r="H127" s="111" t="e">
        <f t="shared" si="25"/>
        <v>#DIV/0!</v>
      </c>
    </row>
    <row r="128" spans="1:8" ht="27" customHeight="1">
      <c r="A128" s="53"/>
      <c r="B128" s="167" t="s">
        <v>86</v>
      </c>
      <c r="C128" s="45"/>
      <c r="D128" s="15"/>
      <c r="E128" s="15"/>
      <c r="F128" s="15"/>
      <c r="G128" s="111"/>
      <c r="H128" s="111"/>
    </row>
    <row r="129" spans="1:8" ht="26.25" customHeight="1">
      <c r="A129" s="112" t="s">
        <v>320</v>
      </c>
      <c r="B129" s="83" t="s">
        <v>90</v>
      </c>
      <c r="C129" s="84">
        <v>1010</v>
      </c>
      <c r="D129" s="14">
        <f>D136+D137+D138+D139+D130</f>
        <v>303.7</v>
      </c>
      <c r="E129" s="14">
        <f>E136+E137+E138+E139</f>
        <v>0</v>
      </c>
      <c r="F129" s="14">
        <f>F136+F137+F138+F139</f>
        <v>0</v>
      </c>
      <c r="G129" s="111">
        <f t="shared" si="24"/>
        <v>0</v>
      </c>
      <c r="H129" s="121" t="e">
        <f t="shared" si="25"/>
        <v>#DIV/0!</v>
      </c>
    </row>
    <row r="130" spans="1:8" ht="26.25" customHeight="1">
      <c r="A130" s="113" t="s">
        <v>448</v>
      </c>
      <c r="B130" s="69" t="s">
        <v>107</v>
      </c>
      <c r="C130" s="51">
        <v>1011</v>
      </c>
      <c r="D130" s="41">
        <f>SUM(D131:D135)</f>
        <v>92.699999999999989</v>
      </c>
      <c r="E130" s="41"/>
      <c r="F130" s="41"/>
      <c r="G130" s="114"/>
      <c r="H130" s="176"/>
    </row>
    <row r="131" spans="1:8" ht="26.25" customHeight="1">
      <c r="A131" s="112"/>
      <c r="B131" s="46" t="s">
        <v>370</v>
      </c>
      <c r="C131" s="84"/>
      <c r="D131" s="15">
        <v>28.1</v>
      </c>
      <c r="E131" s="14"/>
      <c r="F131" s="14"/>
      <c r="G131" s="111"/>
      <c r="H131" s="121"/>
    </row>
    <row r="132" spans="1:8" ht="26.25" customHeight="1">
      <c r="A132" s="112"/>
      <c r="B132" s="46" t="s">
        <v>371</v>
      </c>
      <c r="C132" s="84"/>
      <c r="D132" s="15">
        <v>9.9</v>
      </c>
      <c r="E132" s="14"/>
      <c r="F132" s="14"/>
      <c r="G132" s="111"/>
      <c r="H132" s="121"/>
    </row>
    <row r="133" spans="1:8" ht="26.25" customHeight="1">
      <c r="A133" s="112"/>
      <c r="B133" s="46" t="s">
        <v>298</v>
      </c>
      <c r="C133" s="84"/>
      <c r="D133" s="15">
        <v>14.8</v>
      </c>
      <c r="E133" s="14"/>
      <c r="F133" s="14"/>
      <c r="G133" s="111"/>
      <c r="H133" s="121"/>
    </row>
    <row r="134" spans="1:8" ht="35.25" customHeight="1">
      <c r="A134" s="112"/>
      <c r="B134" s="46" t="s">
        <v>163</v>
      </c>
      <c r="C134" s="84"/>
      <c r="D134" s="15">
        <v>26.8</v>
      </c>
      <c r="E134" s="14"/>
      <c r="F134" s="14"/>
      <c r="G134" s="111"/>
      <c r="H134" s="121"/>
    </row>
    <row r="135" spans="1:8" ht="27.75" customHeight="1">
      <c r="A135" s="112"/>
      <c r="B135" s="46" t="s">
        <v>164</v>
      </c>
      <c r="C135" s="84"/>
      <c r="D135" s="15">
        <v>13.1</v>
      </c>
      <c r="E135" s="14"/>
      <c r="F135" s="14"/>
      <c r="G135" s="111"/>
      <c r="H135" s="121"/>
    </row>
    <row r="136" spans="1:8" ht="28.5" customHeight="1">
      <c r="A136" s="124" t="s">
        <v>321</v>
      </c>
      <c r="B136" s="198" t="s">
        <v>2</v>
      </c>
      <c r="C136" s="126">
        <v>1012</v>
      </c>
      <c r="D136" s="41">
        <v>122.1</v>
      </c>
      <c r="E136" s="41"/>
      <c r="F136" s="41"/>
      <c r="G136" s="114">
        <f t="shared" si="24"/>
        <v>0</v>
      </c>
      <c r="H136" s="176" t="e">
        <f t="shared" si="25"/>
        <v>#DIV/0!</v>
      </c>
    </row>
    <row r="137" spans="1:8" ht="25.5" customHeight="1">
      <c r="A137" s="124" t="s">
        <v>449</v>
      </c>
      <c r="B137" s="198" t="s">
        <v>3</v>
      </c>
      <c r="C137" s="126">
        <v>1013</v>
      </c>
      <c r="D137" s="41">
        <v>25.5</v>
      </c>
      <c r="E137" s="41"/>
      <c r="F137" s="41"/>
      <c r="G137" s="114">
        <f t="shared" si="24"/>
        <v>0</v>
      </c>
      <c r="H137" s="176" t="e">
        <f t="shared" si="25"/>
        <v>#DIV/0!</v>
      </c>
    </row>
    <row r="138" spans="1:8" ht="24.75" customHeight="1">
      <c r="A138" s="124" t="s">
        <v>450</v>
      </c>
      <c r="B138" s="198" t="s">
        <v>4</v>
      </c>
      <c r="C138" s="126">
        <v>1014</v>
      </c>
      <c r="D138" s="41">
        <v>21.7</v>
      </c>
      <c r="E138" s="41"/>
      <c r="F138" s="41"/>
      <c r="G138" s="114">
        <f t="shared" si="24"/>
        <v>0</v>
      </c>
      <c r="H138" s="176" t="e">
        <f t="shared" si="25"/>
        <v>#DIV/0!</v>
      </c>
    </row>
    <row r="139" spans="1:8" ht="24.75" customHeight="1">
      <c r="A139" s="124" t="s">
        <v>451</v>
      </c>
      <c r="B139" s="131" t="s">
        <v>98</v>
      </c>
      <c r="C139" s="51">
        <v>1015</v>
      </c>
      <c r="D139" s="41">
        <f>SUM(D140:D149)</f>
        <v>41.7</v>
      </c>
      <c r="E139" s="41">
        <f>SUM(E140:E149)</f>
        <v>0</v>
      </c>
      <c r="F139" s="41">
        <f>SUM(F140:F149)</f>
        <v>0</v>
      </c>
      <c r="G139" s="114">
        <f t="shared" si="24"/>
        <v>0</v>
      </c>
      <c r="H139" s="176" t="e">
        <f t="shared" si="25"/>
        <v>#DIV/0!</v>
      </c>
    </row>
    <row r="140" spans="1:8" ht="27" customHeight="1">
      <c r="A140" s="118"/>
      <c r="B140" s="115" t="s">
        <v>147</v>
      </c>
      <c r="C140" s="45"/>
      <c r="D140" s="15">
        <v>3.7</v>
      </c>
      <c r="E140" s="15"/>
      <c r="F140" s="15"/>
      <c r="G140" s="129">
        <f t="shared" si="24"/>
        <v>0</v>
      </c>
      <c r="H140" s="130" t="e">
        <f t="shared" si="25"/>
        <v>#DIV/0!</v>
      </c>
    </row>
    <row r="141" spans="1:8" ht="26.25" customHeight="1">
      <c r="A141" s="118"/>
      <c r="B141" s="115" t="s">
        <v>151</v>
      </c>
      <c r="C141" s="45"/>
      <c r="D141" s="15">
        <v>5</v>
      </c>
      <c r="E141" s="15"/>
      <c r="F141" s="15"/>
      <c r="G141" s="129">
        <f t="shared" si="24"/>
        <v>0</v>
      </c>
      <c r="H141" s="130" t="e">
        <f t="shared" si="25"/>
        <v>#DIV/0!</v>
      </c>
    </row>
    <row r="142" spans="1:8" ht="28.5" customHeight="1">
      <c r="A142" s="118"/>
      <c r="B142" s="115" t="s">
        <v>154</v>
      </c>
      <c r="C142" s="45"/>
      <c r="D142" s="15">
        <v>5.9</v>
      </c>
      <c r="E142" s="15"/>
      <c r="F142" s="15"/>
      <c r="G142" s="129">
        <f t="shared" si="24"/>
        <v>0</v>
      </c>
      <c r="H142" s="130" t="e">
        <f t="shared" si="25"/>
        <v>#DIV/0!</v>
      </c>
    </row>
    <row r="143" spans="1:8" ht="29.25" customHeight="1">
      <c r="A143" s="118"/>
      <c r="B143" s="115" t="s">
        <v>153</v>
      </c>
      <c r="C143" s="45"/>
      <c r="D143" s="15">
        <v>2.1</v>
      </c>
      <c r="E143" s="15"/>
      <c r="F143" s="15"/>
      <c r="G143" s="129">
        <f t="shared" si="24"/>
        <v>0</v>
      </c>
      <c r="H143" s="130" t="e">
        <f t="shared" si="25"/>
        <v>#DIV/0!</v>
      </c>
    </row>
    <row r="144" spans="1:8" ht="28.5" customHeight="1">
      <c r="A144" s="118"/>
      <c r="B144" s="128" t="s">
        <v>155</v>
      </c>
      <c r="C144" s="45"/>
      <c r="D144" s="15">
        <v>4.3</v>
      </c>
      <c r="E144" s="15"/>
      <c r="F144" s="15"/>
      <c r="G144" s="129">
        <f t="shared" si="24"/>
        <v>0</v>
      </c>
      <c r="H144" s="130" t="e">
        <f t="shared" si="25"/>
        <v>#DIV/0!</v>
      </c>
    </row>
    <row r="145" spans="1:8" ht="28.5" customHeight="1">
      <c r="A145" s="118"/>
      <c r="B145" s="128" t="s">
        <v>170</v>
      </c>
      <c r="C145" s="45"/>
      <c r="D145" s="15">
        <v>3.5</v>
      </c>
      <c r="E145" s="15"/>
      <c r="F145" s="15"/>
      <c r="G145" s="129">
        <f t="shared" si="24"/>
        <v>0</v>
      </c>
      <c r="H145" s="130" t="e">
        <f t="shared" si="25"/>
        <v>#DIV/0!</v>
      </c>
    </row>
    <row r="146" spans="1:8" ht="28.5" customHeight="1">
      <c r="A146" s="118"/>
      <c r="B146" s="128" t="s">
        <v>217</v>
      </c>
      <c r="C146" s="45"/>
      <c r="D146" s="15">
        <v>12.5</v>
      </c>
      <c r="E146" s="15"/>
      <c r="F146" s="15"/>
      <c r="G146" s="129"/>
      <c r="H146" s="130"/>
    </row>
    <row r="147" spans="1:8" ht="29.25" customHeight="1">
      <c r="A147" s="173"/>
      <c r="B147" s="115" t="s">
        <v>174</v>
      </c>
      <c r="C147" s="120"/>
      <c r="D147" s="15">
        <v>0.1</v>
      </c>
      <c r="E147" s="15"/>
      <c r="F147" s="15"/>
      <c r="G147" s="129">
        <f t="shared" si="24"/>
        <v>0</v>
      </c>
      <c r="H147" s="130" t="e">
        <f t="shared" si="25"/>
        <v>#DIV/0!</v>
      </c>
    </row>
    <row r="148" spans="1:8" ht="28.5" customHeight="1">
      <c r="A148" s="173"/>
      <c r="B148" s="133" t="s">
        <v>175</v>
      </c>
      <c r="C148" s="120"/>
      <c r="D148" s="15">
        <v>0.7</v>
      </c>
      <c r="E148" s="15"/>
      <c r="F148" s="15"/>
      <c r="G148" s="129">
        <f t="shared" si="24"/>
        <v>0</v>
      </c>
      <c r="H148" s="130" t="e">
        <f t="shared" si="25"/>
        <v>#DIV/0!</v>
      </c>
    </row>
    <row r="149" spans="1:8" ht="30.75" customHeight="1">
      <c r="A149" s="173"/>
      <c r="B149" s="133" t="s">
        <v>176</v>
      </c>
      <c r="C149" s="120"/>
      <c r="D149" s="15">
        <v>3.9</v>
      </c>
      <c r="E149" s="15"/>
      <c r="F149" s="15"/>
      <c r="G149" s="129">
        <f t="shared" si="24"/>
        <v>0</v>
      </c>
      <c r="H149" s="130" t="e">
        <f t="shared" si="25"/>
        <v>#DIV/0!</v>
      </c>
    </row>
    <row r="150" spans="1:8" ht="26.25" customHeight="1">
      <c r="A150" s="118" t="s">
        <v>322</v>
      </c>
      <c r="B150" s="132" t="s">
        <v>92</v>
      </c>
      <c r="C150" s="123">
        <v>1020</v>
      </c>
      <c r="D150" s="14">
        <f>D151+D154</f>
        <v>41.699999999999996</v>
      </c>
      <c r="E150" s="14">
        <f>E151+E154</f>
        <v>0</v>
      </c>
      <c r="F150" s="14">
        <f>F151+F154</f>
        <v>0</v>
      </c>
      <c r="G150" s="111">
        <f t="shared" si="24"/>
        <v>0</v>
      </c>
      <c r="H150" s="121" t="e">
        <f t="shared" si="25"/>
        <v>#DIV/0!</v>
      </c>
    </row>
    <row r="151" spans="1:8" ht="26.25" customHeight="1">
      <c r="A151" s="124" t="s">
        <v>323</v>
      </c>
      <c r="B151" s="125" t="s">
        <v>107</v>
      </c>
      <c r="C151" s="126">
        <v>1021</v>
      </c>
      <c r="D151" s="41">
        <f>SUM(D152:D153)</f>
        <v>10.6</v>
      </c>
      <c r="E151" s="41">
        <f>SUM(E152:E153)</f>
        <v>0</v>
      </c>
      <c r="F151" s="41">
        <f>SUM(F152:F153)</f>
        <v>0</v>
      </c>
      <c r="G151" s="114">
        <f t="shared" si="24"/>
        <v>0</v>
      </c>
      <c r="H151" s="176" t="e">
        <f t="shared" si="25"/>
        <v>#DIV/0!</v>
      </c>
    </row>
    <row r="152" spans="1:8" ht="40.5" customHeight="1">
      <c r="A152" s="124"/>
      <c r="B152" s="128" t="s">
        <v>163</v>
      </c>
      <c r="C152" s="120"/>
      <c r="D152" s="15">
        <v>0.9</v>
      </c>
      <c r="E152" s="15"/>
      <c r="F152" s="15"/>
      <c r="G152" s="129">
        <f t="shared" si="24"/>
        <v>0</v>
      </c>
      <c r="H152" s="130" t="e">
        <f t="shared" si="25"/>
        <v>#DIV/0!</v>
      </c>
    </row>
    <row r="153" spans="1:8" ht="27" customHeight="1">
      <c r="A153" s="124"/>
      <c r="B153" s="190" t="s">
        <v>164</v>
      </c>
      <c r="C153" s="120"/>
      <c r="D153" s="15">
        <v>9.6999999999999993</v>
      </c>
      <c r="E153" s="15"/>
      <c r="F153" s="15"/>
      <c r="G153" s="129">
        <f t="shared" si="24"/>
        <v>0</v>
      </c>
      <c r="H153" s="130" t="e">
        <f t="shared" si="25"/>
        <v>#DIV/0!</v>
      </c>
    </row>
    <row r="154" spans="1:8" ht="27" customHeight="1">
      <c r="A154" s="124" t="s">
        <v>324</v>
      </c>
      <c r="B154" s="125" t="s">
        <v>179</v>
      </c>
      <c r="C154" s="126">
        <v>1025</v>
      </c>
      <c r="D154" s="41">
        <f>SUM(D155:D159)</f>
        <v>31.099999999999998</v>
      </c>
      <c r="E154" s="41">
        <f>SUM(E155:E159)</f>
        <v>0</v>
      </c>
      <c r="F154" s="41">
        <f>SUM(F155:F159)</f>
        <v>0</v>
      </c>
      <c r="G154" s="114">
        <f t="shared" si="24"/>
        <v>0</v>
      </c>
      <c r="H154" s="176" t="e">
        <f t="shared" si="25"/>
        <v>#DIV/0!</v>
      </c>
    </row>
    <row r="155" spans="1:8" ht="24.75" customHeight="1">
      <c r="A155" s="127"/>
      <c r="B155" s="194" t="s">
        <v>155</v>
      </c>
      <c r="C155" s="120"/>
      <c r="D155" s="15">
        <v>14.9</v>
      </c>
      <c r="E155" s="15"/>
      <c r="F155" s="15"/>
      <c r="G155" s="129">
        <f t="shared" si="24"/>
        <v>0</v>
      </c>
      <c r="H155" s="130" t="e">
        <f t="shared" si="25"/>
        <v>#DIV/0!</v>
      </c>
    </row>
    <row r="156" spans="1:8" ht="24.75" customHeight="1">
      <c r="A156" s="127"/>
      <c r="B156" s="115" t="s">
        <v>160</v>
      </c>
      <c r="C156" s="120"/>
      <c r="D156" s="15">
        <v>2</v>
      </c>
      <c r="E156" s="15"/>
      <c r="F156" s="15"/>
      <c r="G156" s="129">
        <f t="shared" si="24"/>
        <v>0</v>
      </c>
      <c r="H156" s="130" t="e">
        <f t="shared" si="25"/>
        <v>#DIV/0!</v>
      </c>
    </row>
    <row r="157" spans="1:8" ht="24.75" customHeight="1">
      <c r="A157" s="127"/>
      <c r="B157" s="128" t="s">
        <v>170</v>
      </c>
      <c r="C157" s="120"/>
      <c r="D157" s="15">
        <v>12.3</v>
      </c>
      <c r="E157" s="15"/>
      <c r="F157" s="15"/>
      <c r="G157" s="129">
        <f t="shared" si="24"/>
        <v>0</v>
      </c>
      <c r="H157" s="130" t="e">
        <f t="shared" si="25"/>
        <v>#DIV/0!</v>
      </c>
    </row>
    <row r="158" spans="1:8" ht="24.75" customHeight="1">
      <c r="A158" s="127"/>
      <c r="B158" s="128" t="s">
        <v>240</v>
      </c>
      <c r="C158" s="120"/>
      <c r="D158" s="15">
        <v>0.7</v>
      </c>
      <c r="E158" s="15"/>
      <c r="F158" s="15"/>
      <c r="G158" s="129"/>
      <c r="H158" s="130"/>
    </row>
    <row r="159" spans="1:8" ht="24.75" customHeight="1">
      <c r="A159" s="127"/>
      <c r="B159" s="194" t="s">
        <v>204</v>
      </c>
      <c r="C159" s="120"/>
      <c r="D159" s="15">
        <v>1.2</v>
      </c>
      <c r="E159" s="15"/>
      <c r="F159" s="15"/>
      <c r="G159" s="129">
        <f t="shared" ref="G159:G228" si="26">F159-E159</f>
        <v>0</v>
      </c>
      <c r="H159" s="130" t="e">
        <f t="shared" ref="H159:H228" si="27">(F159/E159)*100</f>
        <v>#DIV/0!</v>
      </c>
    </row>
    <row r="160" spans="1:8" ht="24.75" customHeight="1">
      <c r="A160" s="118" t="s">
        <v>325</v>
      </c>
      <c r="B160" s="195" t="s">
        <v>93</v>
      </c>
      <c r="C160" s="123">
        <v>1030</v>
      </c>
      <c r="D160" s="14">
        <f>D161</f>
        <v>12.4</v>
      </c>
      <c r="E160" s="14">
        <f>E161</f>
        <v>0</v>
      </c>
      <c r="F160" s="14">
        <f>F161</f>
        <v>0</v>
      </c>
      <c r="G160" s="111">
        <f t="shared" si="26"/>
        <v>0</v>
      </c>
      <c r="H160" s="121" t="e">
        <f t="shared" si="27"/>
        <v>#DIV/0!</v>
      </c>
    </row>
    <row r="161" spans="1:8" ht="24.75" customHeight="1">
      <c r="A161" s="124" t="s">
        <v>326</v>
      </c>
      <c r="B161" s="199" t="s">
        <v>93</v>
      </c>
      <c r="C161" s="175">
        <v>1035</v>
      </c>
      <c r="D161" s="41">
        <f>SUM(D162:D162)</f>
        <v>12.4</v>
      </c>
      <c r="E161" s="41">
        <f>SUM(E162:E162)</f>
        <v>0</v>
      </c>
      <c r="F161" s="41">
        <f>SUM(F162:F162)</f>
        <v>0</v>
      </c>
      <c r="G161" s="114">
        <f t="shared" si="26"/>
        <v>0</v>
      </c>
      <c r="H161" s="176" t="e">
        <f t="shared" si="27"/>
        <v>#DIV/0!</v>
      </c>
    </row>
    <row r="162" spans="1:8" ht="24.75" customHeight="1">
      <c r="A162" s="112"/>
      <c r="B162" s="128" t="s">
        <v>172</v>
      </c>
      <c r="C162" s="120"/>
      <c r="D162" s="15">
        <v>12.4</v>
      </c>
      <c r="E162" s="15"/>
      <c r="F162" s="15"/>
      <c r="G162" s="129">
        <f t="shared" si="26"/>
        <v>0</v>
      </c>
      <c r="H162" s="130" t="e">
        <f t="shared" si="27"/>
        <v>#DIV/0!</v>
      </c>
    </row>
    <row r="163" spans="1:8" ht="31.5" customHeight="1">
      <c r="A163" s="112" t="s">
        <v>188</v>
      </c>
      <c r="B163" s="182" t="s">
        <v>180</v>
      </c>
      <c r="C163" s="84"/>
      <c r="D163" s="14">
        <f>D165</f>
        <v>48.9</v>
      </c>
      <c r="E163" s="14">
        <f>E165</f>
        <v>0</v>
      </c>
      <c r="F163" s="14">
        <f>F165</f>
        <v>0</v>
      </c>
      <c r="G163" s="111">
        <f t="shared" si="26"/>
        <v>0</v>
      </c>
      <c r="H163" s="121" t="e">
        <f t="shared" si="27"/>
        <v>#DIV/0!</v>
      </c>
    </row>
    <row r="164" spans="1:8" ht="24.75" customHeight="1">
      <c r="A164" s="173"/>
      <c r="B164" s="167" t="s">
        <v>86</v>
      </c>
      <c r="C164" s="123"/>
      <c r="D164" s="15"/>
      <c r="E164" s="15"/>
      <c r="F164" s="15"/>
      <c r="G164" s="111"/>
      <c r="H164" s="121"/>
    </row>
    <row r="165" spans="1:8" ht="24.75" customHeight="1">
      <c r="A165" s="118" t="s">
        <v>327</v>
      </c>
      <c r="B165" s="83" t="s">
        <v>90</v>
      </c>
      <c r="C165" s="123">
        <v>1010</v>
      </c>
      <c r="D165" s="14">
        <f>D166+D170+D171+D172</f>
        <v>48.9</v>
      </c>
      <c r="E165" s="14">
        <f>E166+E170+E171+E172</f>
        <v>0</v>
      </c>
      <c r="F165" s="14">
        <f>F166+F170+F171+F172</f>
        <v>0</v>
      </c>
      <c r="G165" s="111">
        <f t="shared" si="26"/>
        <v>0</v>
      </c>
      <c r="H165" s="121" t="e">
        <f t="shared" si="27"/>
        <v>#DIV/0!</v>
      </c>
    </row>
    <row r="166" spans="1:8" ht="30" customHeight="1">
      <c r="A166" s="113" t="s">
        <v>328</v>
      </c>
      <c r="B166" s="171" t="s">
        <v>107</v>
      </c>
      <c r="C166" s="126">
        <v>1011</v>
      </c>
      <c r="D166" s="41">
        <f>SUM(D167:D169)</f>
        <v>6.8000000000000007</v>
      </c>
      <c r="E166" s="41">
        <f>SUM(E167:E169)</f>
        <v>0</v>
      </c>
      <c r="F166" s="41">
        <f>SUM(F167:F169)</f>
        <v>0</v>
      </c>
      <c r="G166" s="114">
        <f t="shared" si="26"/>
        <v>0</v>
      </c>
      <c r="H166" s="176" t="e">
        <f t="shared" si="27"/>
        <v>#DIV/0!</v>
      </c>
    </row>
    <row r="167" spans="1:8" ht="24.75" customHeight="1">
      <c r="A167" s="113"/>
      <c r="B167" s="128" t="s">
        <v>141</v>
      </c>
      <c r="C167" s="120"/>
      <c r="D167" s="15">
        <v>1.9</v>
      </c>
      <c r="E167" s="15"/>
      <c r="F167" s="15"/>
      <c r="G167" s="129">
        <f t="shared" si="26"/>
        <v>0</v>
      </c>
      <c r="H167" s="130" t="e">
        <f t="shared" si="27"/>
        <v>#DIV/0!</v>
      </c>
    </row>
    <row r="168" spans="1:8" ht="24.75" customHeight="1">
      <c r="A168" s="113"/>
      <c r="B168" s="128" t="s">
        <v>181</v>
      </c>
      <c r="C168" s="120"/>
      <c r="D168" s="15">
        <v>4.5</v>
      </c>
      <c r="E168" s="15"/>
      <c r="F168" s="15"/>
      <c r="G168" s="129">
        <f t="shared" si="26"/>
        <v>0</v>
      </c>
      <c r="H168" s="130" t="e">
        <f t="shared" si="27"/>
        <v>#DIV/0!</v>
      </c>
    </row>
    <row r="169" spans="1:8" ht="37.5" customHeight="1">
      <c r="A169" s="113"/>
      <c r="B169" s="128" t="s">
        <v>163</v>
      </c>
      <c r="C169" s="120"/>
      <c r="D169" s="15">
        <v>0.4</v>
      </c>
      <c r="E169" s="15"/>
      <c r="F169" s="15"/>
      <c r="G169" s="129">
        <f t="shared" si="26"/>
        <v>0</v>
      </c>
      <c r="H169" s="130" t="e">
        <f t="shared" si="27"/>
        <v>#DIV/0!</v>
      </c>
    </row>
    <row r="170" spans="1:8" ht="24.75" customHeight="1">
      <c r="A170" s="124" t="s">
        <v>329</v>
      </c>
      <c r="B170" s="171" t="s">
        <v>2</v>
      </c>
      <c r="C170" s="126">
        <v>1012</v>
      </c>
      <c r="D170" s="41">
        <v>25.5</v>
      </c>
      <c r="E170" s="41"/>
      <c r="F170" s="41"/>
      <c r="G170" s="114">
        <f t="shared" si="26"/>
        <v>0</v>
      </c>
      <c r="H170" s="176" t="e">
        <f t="shared" si="27"/>
        <v>#DIV/0!</v>
      </c>
    </row>
    <row r="171" spans="1:8" ht="24.75" customHeight="1">
      <c r="A171" s="124" t="s">
        <v>330</v>
      </c>
      <c r="B171" s="171" t="s">
        <v>3</v>
      </c>
      <c r="C171" s="126">
        <v>1013</v>
      </c>
      <c r="D171" s="41">
        <v>5.2</v>
      </c>
      <c r="E171" s="41"/>
      <c r="F171" s="41"/>
      <c r="G171" s="114">
        <f t="shared" si="26"/>
        <v>0</v>
      </c>
      <c r="H171" s="176" t="e">
        <f t="shared" si="27"/>
        <v>#DIV/0!</v>
      </c>
    </row>
    <row r="172" spans="1:8" ht="24.75" customHeight="1">
      <c r="A172" s="113" t="s">
        <v>331</v>
      </c>
      <c r="B172" s="69" t="s">
        <v>182</v>
      </c>
      <c r="C172" s="51">
        <v>1015</v>
      </c>
      <c r="D172" s="41">
        <f>SUM(D173:D176)</f>
        <v>11.4</v>
      </c>
      <c r="E172" s="41">
        <f>SUM(E173:E176)</f>
        <v>0</v>
      </c>
      <c r="F172" s="41">
        <f>SUM(F173:F176)</f>
        <v>0</v>
      </c>
      <c r="G172" s="114">
        <f t="shared" si="26"/>
        <v>0</v>
      </c>
      <c r="H172" s="176" t="e">
        <f t="shared" si="27"/>
        <v>#DIV/0!</v>
      </c>
    </row>
    <row r="173" spans="1:8" ht="24.75" customHeight="1">
      <c r="A173" s="200"/>
      <c r="B173" s="128" t="s">
        <v>155</v>
      </c>
      <c r="C173" s="45"/>
      <c r="D173" s="15">
        <v>0.2</v>
      </c>
      <c r="E173" s="15"/>
      <c r="F173" s="15"/>
      <c r="G173" s="129">
        <f t="shared" si="26"/>
        <v>0</v>
      </c>
      <c r="H173" s="130" t="e">
        <f t="shared" si="27"/>
        <v>#DIV/0!</v>
      </c>
    </row>
    <row r="174" spans="1:8" ht="24.75" customHeight="1">
      <c r="A174" s="200"/>
      <c r="B174" s="128" t="s">
        <v>174</v>
      </c>
      <c r="C174" s="45"/>
      <c r="D174" s="15">
        <v>3.8</v>
      </c>
      <c r="E174" s="15"/>
      <c r="F174" s="15"/>
      <c r="G174" s="129">
        <f t="shared" si="26"/>
        <v>0</v>
      </c>
      <c r="H174" s="130" t="e">
        <f t="shared" si="27"/>
        <v>#DIV/0!</v>
      </c>
    </row>
    <row r="175" spans="1:8" ht="24.75" customHeight="1">
      <c r="A175" s="200"/>
      <c r="B175" s="128" t="s">
        <v>175</v>
      </c>
      <c r="C175" s="45"/>
      <c r="D175" s="15">
        <v>1.2</v>
      </c>
      <c r="E175" s="15"/>
      <c r="F175" s="15"/>
      <c r="G175" s="129">
        <f t="shared" si="26"/>
        <v>0</v>
      </c>
      <c r="H175" s="130" t="e">
        <f t="shared" si="27"/>
        <v>#DIV/0!</v>
      </c>
    </row>
    <row r="176" spans="1:8" ht="24.75" customHeight="1">
      <c r="A176" s="200"/>
      <c r="B176" s="128" t="s">
        <v>176</v>
      </c>
      <c r="C176" s="45"/>
      <c r="D176" s="15">
        <v>6.2</v>
      </c>
      <c r="E176" s="15"/>
      <c r="F176" s="15"/>
      <c r="G176" s="129">
        <f t="shared" si="26"/>
        <v>0</v>
      </c>
      <c r="H176" s="130" t="e">
        <f t="shared" si="27"/>
        <v>#DIV/0!</v>
      </c>
    </row>
    <row r="177" spans="1:11" ht="46.5" customHeight="1">
      <c r="A177" s="112" t="s">
        <v>189</v>
      </c>
      <c r="B177" s="122" t="s">
        <v>261</v>
      </c>
      <c r="C177" s="84"/>
      <c r="D177" s="14">
        <f>D179+D187</f>
        <v>79.300000000000011</v>
      </c>
      <c r="E177" s="15">
        <f>E179</f>
        <v>0</v>
      </c>
      <c r="F177" s="15">
        <f>F179</f>
        <v>0</v>
      </c>
      <c r="G177" s="111">
        <f t="shared" si="26"/>
        <v>0</v>
      </c>
      <c r="H177" s="121" t="e">
        <f t="shared" si="27"/>
        <v>#DIV/0!</v>
      </c>
      <c r="I177" s="158"/>
    </row>
    <row r="178" spans="1:11" ht="24.75" customHeight="1">
      <c r="A178" s="110"/>
      <c r="B178" s="167" t="s">
        <v>86</v>
      </c>
      <c r="C178" s="123"/>
      <c r="D178" s="15"/>
      <c r="E178" s="15"/>
      <c r="F178" s="15"/>
      <c r="G178" s="111"/>
      <c r="H178" s="111"/>
    </row>
    <row r="179" spans="1:11" ht="24.75" customHeight="1">
      <c r="A179" s="112" t="s">
        <v>332</v>
      </c>
      <c r="B179" s="83" t="s">
        <v>90</v>
      </c>
      <c r="C179" s="123">
        <v>1010</v>
      </c>
      <c r="D179" s="14">
        <f>D180+D183</f>
        <v>78.900000000000006</v>
      </c>
      <c r="E179" s="14">
        <f>E180+E183</f>
        <v>0</v>
      </c>
      <c r="F179" s="14">
        <f>F180+F183</f>
        <v>0</v>
      </c>
      <c r="G179" s="111">
        <f t="shared" si="26"/>
        <v>0</v>
      </c>
      <c r="H179" s="121" t="e">
        <f t="shared" si="27"/>
        <v>#DIV/0!</v>
      </c>
    </row>
    <row r="180" spans="1:11" ht="24.75" customHeight="1">
      <c r="A180" s="124" t="s">
        <v>190</v>
      </c>
      <c r="B180" s="171" t="s">
        <v>107</v>
      </c>
      <c r="C180" s="126">
        <v>1011</v>
      </c>
      <c r="D180" s="41">
        <f>SUM(D181:D182)</f>
        <v>60.2</v>
      </c>
      <c r="E180" s="41">
        <f>SUM(E181:E182)</f>
        <v>0</v>
      </c>
      <c r="F180" s="41">
        <f>SUM(F181:F182)</f>
        <v>0</v>
      </c>
      <c r="G180" s="114">
        <f t="shared" si="26"/>
        <v>0</v>
      </c>
      <c r="H180" s="176" t="e">
        <f t="shared" si="27"/>
        <v>#DIV/0!</v>
      </c>
    </row>
    <row r="181" spans="1:11" ht="24.75" customHeight="1">
      <c r="A181" s="124"/>
      <c r="B181" s="128" t="s">
        <v>164</v>
      </c>
      <c r="C181" s="120"/>
      <c r="D181" s="15">
        <v>7.1</v>
      </c>
      <c r="E181" s="15"/>
      <c r="F181" s="15"/>
      <c r="G181" s="129">
        <f t="shared" si="26"/>
        <v>0</v>
      </c>
      <c r="H181" s="130" t="e">
        <f t="shared" si="27"/>
        <v>#DIV/0!</v>
      </c>
    </row>
    <row r="182" spans="1:11" ht="36" customHeight="1">
      <c r="A182" s="124"/>
      <c r="B182" s="128" t="s">
        <v>163</v>
      </c>
      <c r="C182" s="120"/>
      <c r="D182" s="15">
        <v>53.1</v>
      </c>
      <c r="E182" s="15"/>
      <c r="F182" s="15"/>
      <c r="G182" s="129">
        <f t="shared" si="26"/>
        <v>0</v>
      </c>
      <c r="H182" s="130" t="e">
        <f t="shared" si="27"/>
        <v>#DIV/0!</v>
      </c>
    </row>
    <row r="183" spans="1:11" ht="24.75" customHeight="1">
      <c r="A183" s="124" t="s">
        <v>333</v>
      </c>
      <c r="B183" s="199" t="s">
        <v>186</v>
      </c>
      <c r="C183" s="175">
        <v>1015</v>
      </c>
      <c r="D183" s="41">
        <f>SUM(D184:D186)</f>
        <v>18.7</v>
      </c>
      <c r="E183" s="41">
        <f>SUM(E185:E186)</f>
        <v>0</v>
      </c>
      <c r="F183" s="41">
        <f>SUM(F185:F186)</f>
        <v>0</v>
      </c>
      <c r="G183" s="114">
        <f t="shared" si="26"/>
        <v>0</v>
      </c>
      <c r="H183" s="176" t="e">
        <f t="shared" si="27"/>
        <v>#DIV/0!</v>
      </c>
    </row>
    <row r="184" spans="1:11" ht="24.75" customHeight="1">
      <c r="A184" s="124"/>
      <c r="B184" s="104" t="s">
        <v>169</v>
      </c>
      <c r="C184" s="178"/>
      <c r="D184" s="15">
        <v>6</v>
      </c>
      <c r="E184" s="41"/>
      <c r="F184" s="41"/>
      <c r="G184" s="114"/>
      <c r="H184" s="176"/>
    </row>
    <row r="185" spans="1:11" ht="24.75" customHeight="1">
      <c r="A185" s="118"/>
      <c r="B185" s="128" t="s">
        <v>174</v>
      </c>
      <c r="C185" s="120"/>
      <c r="D185" s="15">
        <v>7.5</v>
      </c>
      <c r="E185" s="15"/>
      <c r="F185" s="15"/>
      <c r="G185" s="129">
        <f t="shared" si="26"/>
        <v>0</v>
      </c>
      <c r="H185" s="130" t="e">
        <f t="shared" si="27"/>
        <v>#DIV/0!</v>
      </c>
    </row>
    <row r="186" spans="1:11" ht="24.75" customHeight="1">
      <c r="A186" s="118"/>
      <c r="B186" s="128" t="s">
        <v>176</v>
      </c>
      <c r="C186" s="120"/>
      <c r="D186" s="15">
        <v>5.2</v>
      </c>
      <c r="E186" s="15"/>
      <c r="F186" s="15"/>
      <c r="G186" s="129">
        <f t="shared" si="26"/>
        <v>0</v>
      </c>
      <c r="H186" s="130" t="e">
        <f t="shared" si="27"/>
        <v>#DIV/0!</v>
      </c>
    </row>
    <row r="187" spans="1:11" ht="24.75" customHeight="1">
      <c r="A187" s="118" t="s">
        <v>372</v>
      </c>
      <c r="B187" s="122" t="s">
        <v>93</v>
      </c>
      <c r="C187" s="123">
        <v>1030</v>
      </c>
      <c r="D187" s="14">
        <f>D188</f>
        <v>0.4</v>
      </c>
      <c r="E187" s="15"/>
      <c r="F187" s="15"/>
      <c r="G187" s="129"/>
      <c r="H187" s="130"/>
    </row>
    <row r="188" spans="1:11" ht="24.75" customHeight="1">
      <c r="A188" s="173" t="s">
        <v>373</v>
      </c>
      <c r="B188" s="145" t="s">
        <v>93</v>
      </c>
      <c r="C188" s="201">
        <v>1035</v>
      </c>
      <c r="D188" s="19">
        <f>D189</f>
        <v>0.4</v>
      </c>
      <c r="E188" s="15"/>
      <c r="F188" s="15"/>
      <c r="G188" s="129"/>
      <c r="H188" s="130"/>
    </row>
    <row r="189" spans="1:11" ht="24.75" customHeight="1">
      <c r="A189" s="118"/>
      <c r="B189" s="128" t="s">
        <v>368</v>
      </c>
      <c r="C189" s="120"/>
      <c r="D189" s="15">
        <v>0.4</v>
      </c>
      <c r="E189" s="15"/>
      <c r="F189" s="15"/>
      <c r="G189" s="129"/>
      <c r="H189" s="130"/>
    </row>
    <row r="190" spans="1:11" ht="32.25" customHeight="1">
      <c r="A190" s="118" t="s">
        <v>199</v>
      </c>
      <c r="B190" s="122" t="s">
        <v>239</v>
      </c>
      <c r="C190" s="123"/>
      <c r="D190" s="14">
        <f>D192+D207</f>
        <v>6834</v>
      </c>
      <c r="E190" s="14">
        <f>E192+E207</f>
        <v>7824.2</v>
      </c>
      <c r="F190" s="14">
        <f>F192+F207</f>
        <v>7378</v>
      </c>
      <c r="G190" s="111">
        <f t="shared" si="26"/>
        <v>-446.19999999999982</v>
      </c>
      <c r="H190" s="111">
        <f t="shared" si="27"/>
        <v>94.297180542419682</v>
      </c>
      <c r="I190" s="158"/>
    </row>
    <row r="191" spans="1:11" ht="24.75" customHeight="1">
      <c r="A191" s="118"/>
      <c r="B191" s="119" t="s">
        <v>86</v>
      </c>
      <c r="C191" s="120"/>
      <c r="D191" s="15"/>
      <c r="E191" s="15"/>
      <c r="F191" s="15"/>
      <c r="G191" s="111">
        <f t="shared" si="26"/>
        <v>0</v>
      </c>
      <c r="H191" s="121" t="e">
        <f t="shared" si="27"/>
        <v>#DIV/0!</v>
      </c>
      <c r="K191" s="105"/>
    </row>
    <row r="192" spans="1:11" ht="31.5" customHeight="1">
      <c r="A192" s="118" t="s">
        <v>334</v>
      </c>
      <c r="B192" s="122" t="s">
        <v>90</v>
      </c>
      <c r="C192" s="123">
        <v>1010</v>
      </c>
      <c r="D192" s="14">
        <f>D193+D202</f>
        <v>6772.5</v>
      </c>
      <c r="E192" s="14">
        <f>E193+E202</f>
        <v>7634</v>
      </c>
      <c r="F192" s="14">
        <f>F193+F202</f>
        <v>7192.3</v>
      </c>
      <c r="G192" s="111">
        <f t="shared" si="26"/>
        <v>-441.69999999999982</v>
      </c>
      <c r="H192" s="111">
        <f t="shared" si="27"/>
        <v>94.214042441708145</v>
      </c>
    </row>
    <row r="193" spans="1:10" ht="28.5" customHeight="1">
      <c r="A193" s="124" t="s">
        <v>335</v>
      </c>
      <c r="B193" s="125" t="s">
        <v>107</v>
      </c>
      <c r="C193" s="126">
        <v>1011</v>
      </c>
      <c r="D193" s="41">
        <f>SUM(D194:D201)</f>
        <v>2296.2000000000003</v>
      </c>
      <c r="E193" s="41">
        <f>SUM(E194:E201)</f>
        <v>3933.4</v>
      </c>
      <c r="F193" s="41">
        <f>SUM(F194:F201)</f>
        <v>3483</v>
      </c>
      <c r="G193" s="114">
        <f t="shared" si="26"/>
        <v>-450.40000000000009</v>
      </c>
      <c r="H193" s="114">
        <f t="shared" si="27"/>
        <v>88.549346621243714</v>
      </c>
    </row>
    <row r="194" spans="1:10" ht="41.25" customHeight="1">
      <c r="A194" s="127"/>
      <c r="B194" s="128" t="s">
        <v>191</v>
      </c>
      <c r="C194" s="120"/>
      <c r="D194" s="15">
        <v>2</v>
      </c>
      <c r="E194" s="15"/>
      <c r="F194" s="15"/>
      <c r="G194" s="129">
        <f t="shared" si="26"/>
        <v>0</v>
      </c>
      <c r="H194" s="130" t="e">
        <f t="shared" si="27"/>
        <v>#DIV/0!</v>
      </c>
    </row>
    <row r="195" spans="1:10" ht="24.75" customHeight="1">
      <c r="A195" s="127"/>
      <c r="B195" s="128" t="s">
        <v>192</v>
      </c>
      <c r="C195" s="120"/>
      <c r="D195" s="15">
        <v>1640.7</v>
      </c>
      <c r="E195" s="15">
        <v>3039.8</v>
      </c>
      <c r="F195" s="15">
        <f>2890.7-252.5</f>
        <v>2638.2</v>
      </c>
      <c r="G195" s="129">
        <f t="shared" si="26"/>
        <v>-401.60000000000036</v>
      </c>
      <c r="H195" s="129">
        <f t="shared" si="27"/>
        <v>86.788604513454828</v>
      </c>
      <c r="I195" s="183"/>
    </row>
    <row r="196" spans="1:10" ht="24.75" customHeight="1">
      <c r="A196" s="127"/>
      <c r="B196" s="128" t="s">
        <v>348</v>
      </c>
      <c r="C196" s="120"/>
      <c r="D196" s="15">
        <v>146.4</v>
      </c>
      <c r="E196" s="15"/>
      <c r="F196" s="15">
        <v>0</v>
      </c>
      <c r="G196" s="129">
        <f t="shared" si="26"/>
        <v>0</v>
      </c>
      <c r="H196" s="130" t="e">
        <f t="shared" si="27"/>
        <v>#DIV/0!</v>
      </c>
      <c r="I196" s="183"/>
    </row>
    <row r="197" spans="1:10" ht="24.75" customHeight="1">
      <c r="A197" s="127"/>
      <c r="B197" s="128" t="s">
        <v>298</v>
      </c>
      <c r="C197" s="120"/>
      <c r="D197" s="15">
        <v>3.2</v>
      </c>
      <c r="E197" s="15">
        <v>43.6</v>
      </c>
      <c r="F197" s="15">
        <f>70.6-12.2</f>
        <v>58.399999999999991</v>
      </c>
      <c r="G197" s="129">
        <f t="shared" si="26"/>
        <v>14.79999999999999</v>
      </c>
      <c r="H197" s="129">
        <f t="shared" si="27"/>
        <v>133.94495412844034</v>
      </c>
      <c r="I197" s="183"/>
      <c r="J197" s="105"/>
    </row>
    <row r="198" spans="1:10" ht="24.75" customHeight="1">
      <c r="A198" s="127"/>
      <c r="B198" s="128" t="s">
        <v>193</v>
      </c>
      <c r="C198" s="120"/>
      <c r="D198" s="15">
        <v>333.9</v>
      </c>
      <c r="E198" s="15"/>
      <c r="F198" s="15">
        <v>0</v>
      </c>
      <c r="G198" s="129">
        <f t="shared" si="26"/>
        <v>0</v>
      </c>
      <c r="H198" s="130" t="e">
        <f t="shared" si="27"/>
        <v>#DIV/0!</v>
      </c>
    </row>
    <row r="199" spans="1:10" ht="24.75" customHeight="1">
      <c r="A199" s="127"/>
      <c r="B199" s="128" t="s">
        <v>194</v>
      </c>
      <c r="C199" s="120"/>
      <c r="D199" s="15"/>
      <c r="E199" s="15">
        <v>850</v>
      </c>
      <c r="F199" s="15">
        <f>911-124.6</f>
        <v>786.4</v>
      </c>
      <c r="G199" s="129">
        <f t="shared" si="26"/>
        <v>-63.600000000000023</v>
      </c>
      <c r="H199" s="130">
        <f t="shared" si="27"/>
        <v>92.517647058823528</v>
      </c>
    </row>
    <row r="200" spans="1:10" ht="24.75" customHeight="1">
      <c r="A200" s="127"/>
      <c r="B200" s="128" t="s">
        <v>195</v>
      </c>
      <c r="C200" s="120"/>
      <c r="D200" s="15">
        <v>165.4</v>
      </c>
      <c r="E200" s="15"/>
      <c r="F200" s="15">
        <v>0</v>
      </c>
      <c r="G200" s="129">
        <f t="shared" si="26"/>
        <v>0</v>
      </c>
      <c r="H200" s="130" t="e">
        <f t="shared" si="27"/>
        <v>#DIV/0!</v>
      </c>
    </row>
    <row r="201" spans="1:10" ht="24.75" customHeight="1">
      <c r="A201" s="127"/>
      <c r="B201" s="128" t="s">
        <v>196</v>
      </c>
      <c r="C201" s="120"/>
      <c r="D201" s="15">
        <v>4.5999999999999996</v>
      </c>
      <c r="E201" s="15"/>
      <c r="F201" s="15"/>
      <c r="G201" s="129">
        <f t="shared" si="26"/>
        <v>0</v>
      </c>
      <c r="H201" s="130" t="e">
        <f t="shared" si="27"/>
        <v>#DIV/0!</v>
      </c>
      <c r="J201" s="105"/>
    </row>
    <row r="202" spans="1:10" ht="24.75" customHeight="1">
      <c r="A202" s="124" t="s">
        <v>336</v>
      </c>
      <c r="B202" s="131" t="s">
        <v>98</v>
      </c>
      <c r="C202" s="51">
        <v>1015</v>
      </c>
      <c r="D202" s="41">
        <f>SUM(D203:D206)</f>
        <v>4476.2999999999993</v>
      </c>
      <c r="E202" s="41">
        <f>SUM(E203:E206)</f>
        <v>3700.6</v>
      </c>
      <c r="F202" s="41">
        <f>SUM(F203:F206)</f>
        <v>3709.3</v>
      </c>
      <c r="G202" s="114">
        <f t="shared" si="26"/>
        <v>8.7000000000002728</v>
      </c>
      <c r="H202" s="114">
        <f t="shared" si="27"/>
        <v>100.23509701129547</v>
      </c>
    </row>
    <row r="203" spans="1:10" ht="24.75" customHeight="1">
      <c r="A203" s="118"/>
      <c r="B203" s="115" t="s">
        <v>174</v>
      </c>
      <c r="C203" s="115"/>
      <c r="D203" s="15">
        <v>2578.9</v>
      </c>
      <c r="E203" s="15">
        <v>2811.1</v>
      </c>
      <c r="F203" s="15">
        <f>2873.6-62.5</f>
        <v>2811.1</v>
      </c>
      <c r="G203" s="129">
        <f t="shared" si="26"/>
        <v>0</v>
      </c>
      <c r="H203" s="129">
        <f t="shared" si="27"/>
        <v>100</v>
      </c>
    </row>
    <row r="204" spans="1:10" ht="24.75" customHeight="1">
      <c r="A204" s="118"/>
      <c r="B204" s="115" t="s">
        <v>175</v>
      </c>
      <c r="C204" s="115"/>
      <c r="D204" s="15">
        <v>144.6</v>
      </c>
      <c r="E204" s="15">
        <v>174.3</v>
      </c>
      <c r="F204" s="15">
        <v>174.3</v>
      </c>
      <c r="G204" s="129">
        <f t="shared" si="26"/>
        <v>0</v>
      </c>
      <c r="H204" s="129">
        <f t="shared" si="27"/>
        <v>100</v>
      </c>
    </row>
    <row r="205" spans="1:10" ht="24.75" customHeight="1">
      <c r="A205" s="118"/>
      <c r="B205" s="115" t="s">
        <v>197</v>
      </c>
      <c r="C205" s="115"/>
      <c r="D205" s="15">
        <v>1693.4</v>
      </c>
      <c r="E205" s="15">
        <v>626.5</v>
      </c>
      <c r="F205" s="15">
        <v>626.5</v>
      </c>
      <c r="G205" s="129">
        <f t="shared" si="26"/>
        <v>0</v>
      </c>
      <c r="H205" s="129">
        <f t="shared" si="27"/>
        <v>100</v>
      </c>
    </row>
    <row r="206" spans="1:10" ht="24.75" customHeight="1">
      <c r="A206" s="118"/>
      <c r="B206" s="115" t="s">
        <v>177</v>
      </c>
      <c r="C206" s="115"/>
      <c r="D206" s="15">
        <v>59.4</v>
      </c>
      <c r="E206" s="15">
        <v>88.7</v>
      </c>
      <c r="F206" s="15">
        <v>97.4</v>
      </c>
      <c r="G206" s="129">
        <f t="shared" si="26"/>
        <v>8.7000000000000028</v>
      </c>
      <c r="H206" s="129">
        <f t="shared" si="27"/>
        <v>109.80834272829763</v>
      </c>
    </row>
    <row r="207" spans="1:10" ht="24.75" customHeight="1">
      <c r="A207" s="118" t="s">
        <v>421</v>
      </c>
      <c r="B207" s="132" t="s">
        <v>92</v>
      </c>
      <c r="C207" s="123">
        <v>1020</v>
      </c>
      <c r="D207" s="14">
        <f>D210</f>
        <v>61.5</v>
      </c>
      <c r="E207" s="14">
        <f>E210</f>
        <v>190.20000000000002</v>
      </c>
      <c r="F207" s="14">
        <f>F210+F208</f>
        <v>185.70000000000002</v>
      </c>
      <c r="G207" s="111">
        <f t="shared" si="26"/>
        <v>-4.5</v>
      </c>
      <c r="H207" s="111">
        <f t="shared" si="27"/>
        <v>97.634069400630921</v>
      </c>
    </row>
    <row r="208" spans="1:10" ht="24.75" customHeight="1">
      <c r="A208" s="118" t="s">
        <v>422</v>
      </c>
      <c r="B208" s="125" t="s">
        <v>107</v>
      </c>
      <c r="C208" s="126">
        <v>1021</v>
      </c>
      <c r="D208" s="14"/>
      <c r="E208" s="14"/>
      <c r="F208" s="14">
        <f>F209</f>
        <v>4.8</v>
      </c>
      <c r="G208" s="129">
        <f t="shared" ref="G208:G209" si="28">F208-E208</f>
        <v>4.8</v>
      </c>
      <c r="H208" s="130" t="e">
        <f t="shared" ref="H208:H209" si="29">(F208/E208)*100</f>
        <v>#DIV/0!</v>
      </c>
    </row>
    <row r="209" spans="1:9" ht="25.5" customHeight="1">
      <c r="A209" s="118"/>
      <c r="B209" s="128" t="s">
        <v>298</v>
      </c>
      <c r="C209" s="120"/>
      <c r="D209" s="14"/>
      <c r="E209" s="14"/>
      <c r="F209" s="15">
        <v>4.8</v>
      </c>
      <c r="G209" s="129">
        <f t="shared" si="28"/>
        <v>4.8</v>
      </c>
      <c r="H209" s="130" t="e">
        <f t="shared" si="29"/>
        <v>#DIV/0!</v>
      </c>
    </row>
    <row r="210" spans="1:9" ht="24.75" customHeight="1">
      <c r="A210" s="124" t="s">
        <v>423</v>
      </c>
      <c r="B210" s="125" t="s">
        <v>179</v>
      </c>
      <c r="C210" s="126">
        <v>1025</v>
      </c>
      <c r="D210" s="41">
        <f>SUM(D211:D214)</f>
        <v>61.5</v>
      </c>
      <c r="E210" s="41">
        <f>SUM(E211:E214)</f>
        <v>190.20000000000002</v>
      </c>
      <c r="F210" s="41">
        <f>SUM(F211:F214)</f>
        <v>180.9</v>
      </c>
      <c r="G210" s="114">
        <f t="shared" si="26"/>
        <v>-9.3000000000000114</v>
      </c>
      <c r="H210" s="114">
        <f t="shared" si="27"/>
        <v>95.110410094637217</v>
      </c>
    </row>
    <row r="211" spans="1:9" ht="24.75" customHeight="1">
      <c r="A211" s="110"/>
      <c r="B211" s="133" t="s">
        <v>174</v>
      </c>
      <c r="C211" s="120"/>
      <c r="D211" s="15">
        <v>28.1</v>
      </c>
      <c r="E211" s="15">
        <v>101.4</v>
      </c>
      <c r="F211" s="15">
        <f>38.5+62.5</f>
        <v>101</v>
      </c>
      <c r="G211" s="129">
        <f t="shared" si="26"/>
        <v>-0.40000000000000568</v>
      </c>
      <c r="H211" s="129">
        <f t="shared" si="27"/>
        <v>99.605522682445752</v>
      </c>
    </row>
    <row r="212" spans="1:9" ht="24.75" customHeight="1">
      <c r="A212" s="110"/>
      <c r="B212" s="133" t="s">
        <v>175</v>
      </c>
      <c r="C212" s="120"/>
      <c r="D212" s="15">
        <v>2.5</v>
      </c>
      <c r="E212" s="15">
        <v>3.5</v>
      </c>
      <c r="F212" s="15">
        <v>3.3</v>
      </c>
      <c r="G212" s="129">
        <f t="shared" si="26"/>
        <v>-0.20000000000000018</v>
      </c>
      <c r="H212" s="129">
        <f t="shared" si="27"/>
        <v>94.285714285714278</v>
      </c>
    </row>
    <row r="213" spans="1:9" ht="24.75" customHeight="1">
      <c r="A213" s="110"/>
      <c r="B213" s="133" t="s">
        <v>176</v>
      </c>
      <c r="C213" s="120"/>
      <c r="D213" s="15">
        <v>30.1</v>
      </c>
      <c r="E213" s="15">
        <v>83.4</v>
      </c>
      <c r="F213" s="15">
        <v>74.7</v>
      </c>
      <c r="G213" s="129">
        <f t="shared" si="26"/>
        <v>-8.7000000000000028</v>
      </c>
      <c r="H213" s="129">
        <f t="shared" si="27"/>
        <v>89.568345323740999</v>
      </c>
    </row>
    <row r="214" spans="1:9" ht="24.75" customHeight="1">
      <c r="A214" s="110"/>
      <c r="B214" s="133" t="s">
        <v>198</v>
      </c>
      <c r="C214" s="120"/>
      <c r="D214" s="15">
        <v>0.8</v>
      </c>
      <c r="E214" s="15">
        <v>1.9</v>
      </c>
      <c r="F214" s="15">
        <v>1.9</v>
      </c>
      <c r="G214" s="129">
        <f t="shared" si="26"/>
        <v>0</v>
      </c>
      <c r="H214" s="129">
        <f t="shared" si="27"/>
        <v>100</v>
      </c>
    </row>
    <row r="215" spans="1:9" ht="30.75" customHeight="1">
      <c r="A215" s="112" t="s">
        <v>200</v>
      </c>
      <c r="B215" s="202" t="s">
        <v>253</v>
      </c>
      <c r="C215" s="123"/>
      <c r="D215" s="14">
        <f>D217</f>
        <v>497.3</v>
      </c>
      <c r="E215" s="14">
        <f>E217+E220</f>
        <v>0</v>
      </c>
      <c r="F215" s="14">
        <f>F217</f>
        <v>1537.1</v>
      </c>
      <c r="G215" s="111">
        <f t="shared" si="26"/>
        <v>1537.1</v>
      </c>
      <c r="H215" s="121" t="e">
        <f t="shared" si="27"/>
        <v>#DIV/0!</v>
      </c>
    </row>
    <row r="216" spans="1:9" ht="24.75" customHeight="1">
      <c r="A216" s="110"/>
      <c r="B216" s="203" t="s">
        <v>86</v>
      </c>
      <c r="C216" s="120"/>
      <c r="D216" s="15"/>
      <c r="E216" s="15"/>
      <c r="F216" s="15"/>
      <c r="G216" s="129"/>
      <c r="H216" s="130"/>
    </row>
    <row r="217" spans="1:9" ht="27.75" customHeight="1">
      <c r="A217" s="112" t="s">
        <v>337</v>
      </c>
      <c r="B217" s="202" t="s">
        <v>90</v>
      </c>
      <c r="C217" s="123">
        <v>1010</v>
      </c>
      <c r="D217" s="14">
        <f>D218</f>
        <v>497.3</v>
      </c>
      <c r="E217" s="14"/>
      <c r="F217" s="14">
        <f>F218</f>
        <v>1537.1</v>
      </c>
      <c r="G217" s="111">
        <f t="shared" si="26"/>
        <v>1537.1</v>
      </c>
      <c r="H217" s="121" t="e">
        <f t="shared" si="27"/>
        <v>#DIV/0!</v>
      </c>
      <c r="I217" s="158"/>
    </row>
    <row r="218" spans="1:9" ht="27" customHeight="1">
      <c r="A218" s="113" t="s">
        <v>338</v>
      </c>
      <c r="B218" s="198" t="s">
        <v>107</v>
      </c>
      <c r="C218" s="126">
        <v>1011</v>
      </c>
      <c r="D218" s="41">
        <f>D219</f>
        <v>497.3</v>
      </c>
      <c r="E218" s="41"/>
      <c r="F218" s="41">
        <f>SUM(F219:F224)</f>
        <v>1537.1</v>
      </c>
      <c r="G218" s="114">
        <f t="shared" si="26"/>
        <v>1537.1</v>
      </c>
      <c r="H218" s="176" t="e">
        <f t="shared" si="27"/>
        <v>#DIV/0!</v>
      </c>
    </row>
    <row r="219" spans="1:9" ht="29.25" customHeight="1">
      <c r="A219" s="110"/>
      <c r="B219" s="128" t="s">
        <v>192</v>
      </c>
      <c r="C219" s="120"/>
      <c r="D219" s="15">
        <v>497.3</v>
      </c>
      <c r="E219" s="15"/>
      <c r="F219" s="15">
        <v>252.5</v>
      </c>
      <c r="G219" s="129">
        <f t="shared" si="26"/>
        <v>252.5</v>
      </c>
      <c r="H219" s="130" t="e">
        <f t="shared" si="27"/>
        <v>#DIV/0!</v>
      </c>
    </row>
    <row r="220" spans="1:9" ht="24.75" customHeight="1">
      <c r="A220" s="110"/>
      <c r="B220" s="104" t="s">
        <v>193</v>
      </c>
      <c r="C220" s="45"/>
      <c r="D220" s="15"/>
      <c r="E220" s="15"/>
      <c r="F220" s="15">
        <f>493.7+318.2</f>
        <v>811.9</v>
      </c>
      <c r="G220" s="111"/>
      <c r="H220" s="111"/>
    </row>
    <row r="221" spans="1:9" ht="24.75" customHeight="1">
      <c r="A221" s="112"/>
      <c r="B221" s="46" t="s">
        <v>348</v>
      </c>
      <c r="C221" s="84"/>
      <c r="D221" s="14"/>
      <c r="E221" s="14"/>
      <c r="F221" s="15">
        <f>109.8+73.2</f>
        <v>183</v>
      </c>
      <c r="G221" s="111"/>
      <c r="H221" s="111"/>
      <c r="I221" s="50"/>
    </row>
    <row r="222" spans="1:9" ht="24.75" customHeight="1">
      <c r="A222" s="113"/>
      <c r="B222" s="46" t="s">
        <v>298</v>
      </c>
      <c r="C222" s="51"/>
      <c r="D222" s="41"/>
      <c r="E222" s="41"/>
      <c r="F222" s="15">
        <v>12.2</v>
      </c>
      <c r="G222" s="114"/>
      <c r="H222" s="114"/>
    </row>
    <row r="223" spans="1:9" ht="24.75" customHeight="1">
      <c r="A223" s="113"/>
      <c r="B223" s="46" t="s">
        <v>194</v>
      </c>
      <c r="C223" s="51"/>
      <c r="D223" s="41"/>
      <c r="E223" s="41"/>
      <c r="F223" s="15">
        <v>124.6</v>
      </c>
      <c r="G223" s="114"/>
      <c r="H223" s="114"/>
    </row>
    <row r="224" spans="1:9" ht="26.25" customHeight="1">
      <c r="A224" s="112"/>
      <c r="B224" s="115" t="s">
        <v>195</v>
      </c>
      <c r="C224" s="115"/>
      <c r="D224" s="15"/>
      <c r="E224" s="15"/>
      <c r="F224" s="15">
        <f>98.1+54.8</f>
        <v>152.89999999999998</v>
      </c>
      <c r="G224" s="111"/>
      <c r="H224" s="111"/>
    </row>
    <row r="225" spans="1:10" ht="24.75" customHeight="1">
      <c r="A225" s="112" t="s">
        <v>351</v>
      </c>
      <c r="B225" s="122" t="s">
        <v>201</v>
      </c>
      <c r="C225" s="185"/>
      <c r="D225" s="14">
        <f>D227</f>
        <v>39.9</v>
      </c>
      <c r="E225" s="14">
        <f>E227</f>
        <v>48</v>
      </c>
      <c r="F225" s="14">
        <f>F227</f>
        <v>48.3</v>
      </c>
      <c r="G225" s="111">
        <f t="shared" si="26"/>
        <v>0.29999999999999716</v>
      </c>
      <c r="H225" s="111">
        <f t="shared" si="27"/>
        <v>100.62499999999999</v>
      </c>
      <c r="I225" s="158"/>
    </row>
    <row r="226" spans="1:10" ht="24.75" customHeight="1">
      <c r="A226" s="110"/>
      <c r="B226" s="167" t="s">
        <v>86</v>
      </c>
      <c r="C226" s="201"/>
      <c r="D226" s="15"/>
      <c r="E226" s="15"/>
      <c r="F226" s="15"/>
      <c r="G226" s="111"/>
      <c r="H226" s="121" t="e">
        <f t="shared" si="27"/>
        <v>#DIV/0!</v>
      </c>
    </row>
    <row r="227" spans="1:10" ht="24.75" customHeight="1">
      <c r="A227" s="112" t="s">
        <v>352</v>
      </c>
      <c r="B227" s="195" t="s">
        <v>12</v>
      </c>
      <c r="C227" s="123">
        <v>1030</v>
      </c>
      <c r="D227" s="14">
        <f>D228</f>
        <v>39.9</v>
      </c>
      <c r="E227" s="14">
        <f>E228</f>
        <v>48</v>
      </c>
      <c r="F227" s="14">
        <f>F228</f>
        <v>48.3</v>
      </c>
      <c r="G227" s="111">
        <f t="shared" si="26"/>
        <v>0.29999999999999716</v>
      </c>
      <c r="H227" s="111">
        <f t="shared" si="27"/>
        <v>100.62499999999999</v>
      </c>
    </row>
    <row r="228" spans="1:10" ht="24.75" customHeight="1">
      <c r="A228" s="113" t="s">
        <v>353</v>
      </c>
      <c r="B228" s="196" t="s">
        <v>93</v>
      </c>
      <c r="C228" s="126">
        <v>1035</v>
      </c>
      <c r="D228" s="41">
        <f>SUM(D229:D231)</f>
        <v>39.9</v>
      </c>
      <c r="E228" s="41">
        <f>SUM(E229:E231)</f>
        <v>48</v>
      </c>
      <c r="F228" s="41">
        <f>SUM(F229:F231)</f>
        <v>48.3</v>
      </c>
      <c r="G228" s="114">
        <f t="shared" si="26"/>
        <v>0.29999999999999716</v>
      </c>
      <c r="H228" s="114">
        <f t="shared" si="27"/>
        <v>100.62499999999999</v>
      </c>
    </row>
    <row r="229" spans="1:10" ht="24.75" customHeight="1">
      <c r="A229" s="200"/>
      <c r="B229" s="128" t="s">
        <v>174</v>
      </c>
      <c r="C229" s="120"/>
      <c r="D229" s="15">
        <f>4.9</f>
        <v>4.9000000000000004</v>
      </c>
      <c r="E229" s="15">
        <v>4</v>
      </c>
      <c r="F229" s="15">
        <v>5.7</v>
      </c>
      <c r="G229" s="111">
        <f t="shared" ref="G229:G311" si="30">F229-E229</f>
        <v>1.7000000000000002</v>
      </c>
      <c r="H229" s="111">
        <f t="shared" ref="H229:H311" si="31">(F229/E229)*100</f>
        <v>142.5</v>
      </c>
    </row>
    <row r="230" spans="1:10" ht="24.75" customHeight="1">
      <c r="A230" s="200"/>
      <c r="B230" s="128" t="s">
        <v>175</v>
      </c>
      <c r="C230" s="120"/>
      <c r="D230" s="15">
        <f>1.5</f>
        <v>1.5</v>
      </c>
      <c r="E230" s="15">
        <v>4</v>
      </c>
      <c r="F230" s="15">
        <v>2.1</v>
      </c>
      <c r="G230" s="111">
        <f t="shared" si="30"/>
        <v>-1.9</v>
      </c>
      <c r="H230" s="111">
        <f t="shared" si="31"/>
        <v>52.5</v>
      </c>
    </row>
    <row r="231" spans="1:10" ht="26.25" customHeight="1">
      <c r="A231" s="112"/>
      <c r="B231" s="128" t="s">
        <v>176</v>
      </c>
      <c r="C231" s="120"/>
      <c r="D231" s="15">
        <f>33.5</f>
        <v>33.5</v>
      </c>
      <c r="E231" s="15">
        <v>40</v>
      </c>
      <c r="F231" s="15">
        <f>46.1-5.6</f>
        <v>40.5</v>
      </c>
      <c r="G231" s="111">
        <f t="shared" si="30"/>
        <v>0.5</v>
      </c>
      <c r="H231" s="111">
        <f t="shared" si="31"/>
        <v>101.25</v>
      </c>
    </row>
    <row r="232" spans="1:10" ht="32.25" customHeight="1">
      <c r="A232" s="112" t="s">
        <v>416</v>
      </c>
      <c r="B232" s="122" t="s">
        <v>415</v>
      </c>
      <c r="C232" s="120"/>
      <c r="D232" s="14">
        <f>D234</f>
        <v>8</v>
      </c>
      <c r="E232" s="14">
        <f t="shared" ref="E232:F232" si="32">E234</f>
        <v>0</v>
      </c>
      <c r="F232" s="14">
        <f t="shared" si="32"/>
        <v>0</v>
      </c>
      <c r="G232" s="111"/>
      <c r="H232" s="111"/>
    </row>
    <row r="233" spans="1:10" ht="26.25" customHeight="1">
      <c r="A233" s="112"/>
      <c r="B233" s="145" t="s">
        <v>86</v>
      </c>
      <c r="C233" s="120"/>
      <c r="D233" s="15"/>
      <c r="E233" s="15"/>
      <c r="F233" s="15"/>
      <c r="G233" s="111"/>
      <c r="H233" s="111"/>
    </row>
    <row r="234" spans="1:10" ht="26.25" customHeight="1">
      <c r="A234" s="112" t="s">
        <v>452</v>
      </c>
      <c r="B234" s="195" t="s">
        <v>12</v>
      </c>
      <c r="C234" s="123">
        <v>1030</v>
      </c>
      <c r="D234" s="14">
        <f>D235</f>
        <v>8</v>
      </c>
      <c r="E234" s="14">
        <f t="shared" ref="E234:F234" si="33">E235</f>
        <v>0</v>
      </c>
      <c r="F234" s="14">
        <f t="shared" si="33"/>
        <v>0</v>
      </c>
      <c r="G234" s="111"/>
      <c r="H234" s="111"/>
    </row>
    <row r="235" spans="1:10" ht="26.25" customHeight="1">
      <c r="A235" s="112" t="s">
        <v>424</v>
      </c>
      <c r="B235" s="196" t="s">
        <v>93</v>
      </c>
      <c r="C235" s="126">
        <v>1035</v>
      </c>
      <c r="D235" s="19">
        <f>SUM(D236:D238)</f>
        <v>8</v>
      </c>
      <c r="E235" s="19">
        <f t="shared" ref="E235:F235" si="34">SUM(E236:E238)</f>
        <v>0</v>
      </c>
      <c r="F235" s="19">
        <f t="shared" si="34"/>
        <v>0</v>
      </c>
      <c r="G235" s="111"/>
      <c r="H235" s="111"/>
    </row>
    <row r="236" spans="1:10" ht="26.25" customHeight="1">
      <c r="A236" s="112"/>
      <c r="B236" s="128" t="s">
        <v>174</v>
      </c>
      <c r="C236" s="120"/>
      <c r="D236" s="15">
        <v>1.9</v>
      </c>
      <c r="E236" s="15"/>
      <c r="F236" s="15"/>
      <c r="G236" s="111"/>
      <c r="H236" s="111"/>
    </row>
    <row r="237" spans="1:10" ht="26.25" customHeight="1">
      <c r="A237" s="112"/>
      <c r="B237" s="128" t="s">
        <v>175</v>
      </c>
      <c r="C237" s="120"/>
      <c r="D237" s="15">
        <v>1.1000000000000001</v>
      </c>
      <c r="E237" s="15"/>
      <c r="F237" s="15"/>
      <c r="G237" s="111"/>
      <c r="H237" s="111"/>
    </row>
    <row r="238" spans="1:10" ht="26.25" customHeight="1">
      <c r="A238" s="112"/>
      <c r="B238" s="128" t="s">
        <v>176</v>
      </c>
      <c r="C238" s="120"/>
      <c r="D238" s="15">
        <v>5</v>
      </c>
      <c r="E238" s="15"/>
      <c r="F238" s="15"/>
      <c r="G238" s="111"/>
      <c r="H238" s="111"/>
    </row>
    <row r="239" spans="1:10" ht="40.5" customHeight="1">
      <c r="A239" s="112" t="s">
        <v>226</v>
      </c>
      <c r="B239" s="132" t="s">
        <v>202</v>
      </c>
      <c r="C239" s="84"/>
      <c r="D239" s="14">
        <f>D241+D245</f>
        <v>35.699999999999996</v>
      </c>
      <c r="E239" s="14">
        <f>E241+E245</f>
        <v>25</v>
      </c>
      <c r="F239" s="14">
        <f>F241+F245</f>
        <v>95.3</v>
      </c>
      <c r="G239" s="111">
        <f t="shared" si="30"/>
        <v>70.3</v>
      </c>
      <c r="H239" s="111">
        <f t="shared" si="31"/>
        <v>381.2</v>
      </c>
      <c r="J239" s="105"/>
    </row>
    <row r="240" spans="1:10" ht="24.75" customHeight="1">
      <c r="A240" s="112"/>
      <c r="B240" s="167" t="s">
        <v>86</v>
      </c>
      <c r="C240" s="84"/>
      <c r="D240" s="15"/>
      <c r="E240" s="15"/>
      <c r="F240" s="15"/>
      <c r="G240" s="111"/>
      <c r="H240" s="111"/>
      <c r="I240" s="158"/>
    </row>
    <row r="241" spans="1:10" ht="26.25" customHeight="1">
      <c r="A241" s="112" t="s">
        <v>425</v>
      </c>
      <c r="B241" s="122" t="s">
        <v>90</v>
      </c>
      <c r="C241" s="84">
        <v>1010</v>
      </c>
      <c r="D241" s="14">
        <f t="shared" ref="D241:F242" si="35">D242</f>
        <v>34.299999999999997</v>
      </c>
      <c r="E241" s="14">
        <f t="shared" si="35"/>
        <v>22</v>
      </c>
      <c r="F241" s="14">
        <f t="shared" si="35"/>
        <v>92.6</v>
      </c>
      <c r="G241" s="111">
        <f t="shared" si="30"/>
        <v>70.599999999999994</v>
      </c>
      <c r="H241" s="111">
        <f t="shared" si="31"/>
        <v>420.90909090909088</v>
      </c>
      <c r="I241" s="158"/>
    </row>
    <row r="242" spans="1:10" ht="28.5" customHeight="1">
      <c r="A242" s="113" t="s">
        <v>426</v>
      </c>
      <c r="B242" s="171" t="s">
        <v>98</v>
      </c>
      <c r="C242" s="51">
        <v>1015</v>
      </c>
      <c r="D242" s="19">
        <f t="shared" si="35"/>
        <v>34.299999999999997</v>
      </c>
      <c r="E242" s="19">
        <f t="shared" si="35"/>
        <v>22</v>
      </c>
      <c r="F242" s="19">
        <f>F243+F244</f>
        <v>92.6</v>
      </c>
      <c r="G242" s="204">
        <f t="shared" si="30"/>
        <v>70.599999999999994</v>
      </c>
      <c r="H242" s="204">
        <f t="shared" si="31"/>
        <v>420.90909090909088</v>
      </c>
    </row>
    <row r="243" spans="1:10" ht="24.75" customHeight="1">
      <c r="A243" s="200"/>
      <c r="B243" s="128" t="s">
        <v>203</v>
      </c>
      <c r="C243" s="45"/>
      <c r="D243" s="15">
        <v>34.299999999999997</v>
      </c>
      <c r="E243" s="15">
        <v>22</v>
      </c>
      <c r="F243" s="15">
        <v>13.5</v>
      </c>
      <c r="G243" s="129">
        <f t="shared" si="30"/>
        <v>-8.5</v>
      </c>
      <c r="H243" s="129">
        <f t="shared" si="31"/>
        <v>61.363636363636367</v>
      </c>
      <c r="J243" s="105"/>
    </row>
    <row r="244" spans="1:10" ht="24.75" customHeight="1">
      <c r="A244" s="200"/>
      <c r="B244" s="128" t="s">
        <v>217</v>
      </c>
      <c r="C244" s="45"/>
      <c r="D244" s="15"/>
      <c r="E244" s="15"/>
      <c r="F244" s="15">
        <v>79.099999999999994</v>
      </c>
      <c r="G244" s="129"/>
      <c r="H244" s="129"/>
    </row>
    <row r="245" spans="1:10" ht="28.5" customHeight="1">
      <c r="A245" s="112" t="s">
        <v>427</v>
      </c>
      <c r="B245" s="182" t="s">
        <v>92</v>
      </c>
      <c r="C245" s="84">
        <v>1020</v>
      </c>
      <c r="D245" s="14">
        <f t="shared" ref="D245:F246" si="36">D246</f>
        <v>1.4</v>
      </c>
      <c r="E245" s="14">
        <f t="shared" si="36"/>
        <v>3</v>
      </c>
      <c r="F245" s="14">
        <f t="shared" si="36"/>
        <v>2.7</v>
      </c>
      <c r="G245" s="111">
        <f t="shared" si="30"/>
        <v>-0.29999999999999982</v>
      </c>
      <c r="H245" s="111">
        <f t="shared" si="31"/>
        <v>90</v>
      </c>
    </row>
    <row r="246" spans="1:10" ht="30" customHeight="1">
      <c r="A246" s="113" t="s">
        <v>428</v>
      </c>
      <c r="B246" s="125" t="s">
        <v>179</v>
      </c>
      <c r="C246" s="126">
        <v>1025</v>
      </c>
      <c r="D246" s="41">
        <f t="shared" si="36"/>
        <v>1.4</v>
      </c>
      <c r="E246" s="41">
        <f t="shared" si="36"/>
        <v>3</v>
      </c>
      <c r="F246" s="41">
        <f t="shared" si="36"/>
        <v>2.7</v>
      </c>
      <c r="G246" s="114">
        <f t="shared" si="30"/>
        <v>-0.29999999999999982</v>
      </c>
      <c r="H246" s="114">
        <f t="shared" si="31"/>
        <v>90</v>
      </c>
    </row>
    <row r="247" spans="1:10" ht="24.75" customHeight="1">
      <c r="A247" s="112"/>
      <c r="B247" s="190" t="s">
        <v>204</v>
      </c>
      <c r="C247" s="120"/>
      <c r="D247" s="15">
        <v>1.4</v>
      </c>
      <c r="E247" s="15">
        <v>3</v>
      </c>
      <c r="F247" s="15">
        <v>2.7</v>
      </c>
      <c r="G247" s="129">
        <f t="shared" si="30"/>
        <v>-0.29999999999999982</v>
      </c>
      <c r="H247" s="129">
        <f t="shared" si="31"/>
        <v>90</v>
      </c>
    </row>
    <row r="248" spans="1:10" ht="24.75" customHeight="1">
      <c r="A248" s="112" t="s">
        <v>257</v>
      </c>
      <c r="B248" s="122" t="s">
        <v>360</v>
      </c>
      <c r="C248" s="123"/>
      <c r="D248" s="14">
        <f>D250</f>
        <v>14.8</v>
      </c>
      <c r="E248" s="14">
        <f>E250</f>
        <v>17.600000000000001</v>
      </c>
      <c r="F248" s="14">
        <f>F250</f>
        <v>0</v>
      </c>
      <c r="G248" s="129">
        <f t="shared" si="30"/>
        <v>-17.600000000000001</v>
      </c>
      <c r="H248" s="130">
        <f t="shared" si="31"/>
        <v>0</v>
      </c>
    </row>
    <row r="249" spans="1:10" ht="24.75" customHeight="1">
      <c r="A249" s="112"/>
      <c r="B249" s="167" t="s">
        <v>86</v>
      </c>
      <c r="C249" s="84"/>
      <c r="D249" s="15"/>
      <c r="E249" s="15"/>
      <c r="F249" s="15"/>
      <c r="G249" s="129">
        <f t="shared" si="30"/>
        <v>0</v>
      </c>
      <c r="H249" s="130" t="e">
        <f t="shared" si="31"/>
        <v>#DIV/0!</v>
      </c>
    </row>
    <row r="250" spans="1:10" ht="27" customHeight="1">
      <c r="A250" s="112" t="s">
        <v>429</v>
      </c>
      <c r="B250" s="182" t="s">
        <v>90</v>
      </c>
      <c r="C250" s="84">
        <v>1030</v>
      </c>
      <c r="D250" s="14">
        <f t="shared" ref="D250:F251" si="37">D251</f>
        <v>14.8</v>
      </c>
      <c r="E250" s="14">
        <f t="shared" si="37"/>
        <v>17.600000000000001</v>
      </c>
      <c r="F250" s="14">
        <f t="shared" si="37"/>
        <v>0</v>
      </c>
      <c r="G250" s="111">
        <f t="shared" si="30"/>
        <v>-17.600000000000001</v>
      </c>
      <c r="H250" s="121">
        <f t="shared" si="31"/>
        <v>0</v>
      </c>
    </row>
    <row r="251" spans="1:10" ht="24.75" customHeight="1">
      <c r="A251" s="113" t="s">
        <v>430</v>
      </c>
      <c r="B251" s="199" t="s">
        <v>93</v>
      </c>
      <c r="C251" s="126">
        <v>1035</v>
      </c>
      <c r="D251" s="41">
        <f t="shared" si="37"/>
        <v>14.8</v>
      </c>
      <c r="E251" s="41">
        <f t="shared" si="37"/>
        <v>17.600000000000001</v>
      </c>
      <c r="F251" s="41">
        <f t="shared" si="37"/>
        <v>0</v>
      </c>
      <c r="G251" s="114">
        <f t="shared" si="30"/>
        <v>-17.600000000000001</v>
      </c>
      <c r="H251" s="176">
        <f t="shared" si="31"/>
        <v>0</v>
      </c>
    </row>
    <row r="252" spans="1:10" ht="24.75" customHeight="1">
      <c r="A252" s="112"/>
      <c r="B252" s="190" t="s">
        <v>217</v>
      </c>
      <c r="C252" s="123"/>
      <c r="D252" s="15">
        <v>14.8</v>
      </c>
      <c r="E252" s="15">
        <v>17.600000000000001</v>
      </c>
      <c r="F252" s="15"/>
      <c r="G252" s="129">
        <f t="shared" si="30"/>
        <v>-17.600000000000001</v>
      </c>
      <c r="H252" s="130">
        <f t="shared" si="31"/>
        <v>0</v>
      </c>
    </row>
    <row r="253" spans="1:10" ht="24.75" customHeight="1">
      <c r="A253" s="112" t="s">
        <v>258</v>
      </c>
      <c r="B253" s="182" t="s">
        <v>223</v>
      </c>
      <c r="C253" s="184"/>
      <c r="D253" s="14">
        <f>D255</f>
        <v>933.69999999999993</v>
      </c>
      <c r="E253" s="14">
        <f>E255</f>
        <v>0</v>
      </c>
      <c r="F253" s="14">
        <f>F255</f>
        <v>3576.7999999999993</v>
      </c>
      <c r="G253" s="111">
        <f t="shared" si="30"/>
        <v>3576.7999999999993</v>
      </c>
      <c r="H253" s="130" t="e">
        <f t="shared" si="31"/>
        <v>#DIV/0!</v>
      </c>
      <c r="J253" s="105"/>
    </row>
    <row r="254" spans="1:10" ht="24.75" customHeight="1">
      <c r="A254" s="200"/>
      <c r="B254" s="167" t="s">
        <v>86</v>
      </c>
      <c r="C254" s="45"/>
      <c r="D254" s="15"/>
      <c r="E254" s="15">
        <f>E256</f>
        <v>0</v>
      </c>
      <c r="F254" s="15"/>
      <c r="G254" s="111"/>
      <c r="H254" s="121"/>
    </row>
    <row r="255" spans="1:10" ht="24.75" customHeight="1">
      <c r="A255" s="112" t="s">
        <v>346</v>
      </c>
      <c r="B255" s="182" t="s">
        <v>90</v>
      </c>
      <c r="C255" s="84">
        <v>1010</v>
      </c>
      <c r="D255" s="14">
        <f>D256+D261</f>
        <v>933.69999999999993</v>
      </c>
      <c r="E255" s="14"/>
      <c r="F255" s="14">
        <f>F256+F261</f>
        <v>3576.7999999999993</v>
      </c>
      <c r="G255" s="111">
        <f t="shared" si="30"/>
        <v>3576.7999999999993</v>
      </c>
      <c r="H255" s="121" t="e">
        <f t="shared" si="31"/>
        <v>#DIV/0!</v>
      </c>
    </row>
    <row r="256" spans="1:10" ht="24.75" customHeight="1">
      <c r="A256" s="113" t="s">
        <v>347</v>
      </c>
      <c r="B256" s="125" t="s">
        <v>107</v>
      </c>
      <c r="C256" s="126">
        <v>1011</v>
      </c>
      <c r="D256" s="41">
        <f>SUM(D257:D259)</f>
        <v>784.09999999999991</v>
      </c>
      <c r="E256" s="41"/>
      <c r="F256" s="41">
        <f>SUM(F257:F260)</f>
        <v>3210.6999999999994</v>
      </c>
      <c r="G256" s="114">
        <f t="shared" si="30"/>
        <v>3210.6999999999994</v>
      </c>
      <c r="H256" s="176" t="e">
        <f t="shared" si="31"/>
        <v>#DIV/0!</v>
      </c>
    </row>
    <row r="257" spans="1:9" ht="24.75" customHeight="1">
      <c r="A257" s="112"/>
      <c r="B257" s="190" t="s">
        <v>214</v>
      </c>
      <c r="C257" s="123"/>
      <c r="D257" s="15">
        <v>672.9</v>
      </c>
      <c r="E257" s="15"/>
      <c r="F257" s="15">
        <f>2808-170.4</f>
        <v>2637.6</v>
      </c>
      <c r="G257" s="129">
        <f t="shared" si="30"/>
        <v>2637.6</v>
      </c>
      <c r="H257" s="130" t="e">
        <f t="shared" si="31"/>
        <v>#DIV/0!</v>
      </c>
    </row>
    <row r="258" spans="1:9" ht="24.75" customHeight="1">
      <c r="A258" s="112"/>
      <c r="B258" s="190" t="s">
        <v>140</v>
      </c>
      <c r="C258" s="123"/>
      <c r="D258" s="15">
        <v>67.900000000000006</v>
      </c>
      <c r="E258" s="15"/>
      <c r="F258" s="15">
        <v>236.7</v>
      </c>
      <c r="G258" s="129">
        <f t="shared" si="30"/>
        <v>236.7</v>
      </c>
      <c r="H258" s="130" t="e">
        <f t="shared" si="31"/>
        <v>#DIV/0!</v>
      </c>
    </row>
    <row r="259" spans="1:9" ht="40.5" customHeight="1">
      <c r="A259" s="112"/>
      <c r="B259" s="128" t="s">
        <v>215</v>
      </c>
      <c r="C259" s="123"/>
      <c r="D259" s="15">
        <v>43.3</v>
      </c>
      <c r="E259" s="15"/>
      <c r="F259" s="15">
        <v>335.7</v>
      </c>
      <c r="G259" s="129">
        <f t="shared" si="30"/>
        <v>335.7</v>
      </c>
      <c r="H259" s="130" t="e">
        <f t="shared" si="31"/>
        <v>#DIV/0!</v>
      </c>
    </row>
    <row r="260" spans="1:9" ht="24.75" customHeight="1">
      <c r="A260" s="112"/>
      <c r="B260" s="128" t="s">
        <v>181</v>
      </c>
      <c r="C260" s="123"/>
      <c r="D260" s="15"/>
      <c r="E260" s="15"/>
      <c r="F260" s="15">
        <v>0.7</v>
      </c>
      <c r="G260" s="129">
        <f t="shared" si="30"/>
        <v>0.7</v>
      </c>
      <c r="H260" s="130" t="e">
        <f t="shared" si="31"/>
        <v>#DIV/0!</v>
      </c>
      <c r="I260" s="158"/>
    </row>
    <row r="261" spans="1:9" ht="24.75" customHeight="1">
      <c r="A261" s="113" t="s">
        <v>431</v>
      </c>
      <c r="B261" s="69" t="s">
        <v>98</v>
      </c>
      <c r="C261" s="51">
        <v>1015</v>
      </c>
      <c r="D261" s="41">
        <f>SUM(D263:D267)</f>
        <v>149.6</v>
      </c>
      <c r="E261" s="41"/>
      <c r="F261" s="41">
        <f>SUM(F262:F267)</f>
        <v>366.09999999999997</v>
      </c>
      <c r="G261" s="114">
        <f t="shared" si="30"/>
        <v>366.09999999999997</v>
      </c>
      <c r="H261" s="176" t="e">
        <f t="shared" si="31"/>
        <v>#DIV/0!</v>
      </c>
    </row>
    <row r="262" spans="1:9" ht="24.75" customHeight="1">
      <c r="A262" s="113"/>
      <c r="B262" s="46" t="s">
        <v>151</v>
      </c>
      <c r="C262" s="45"/>
      <c r="D262" s="15"/>
      <c r="E262" s="15"/>
      <c r="F262" s="15">
        <v>32.9</v>
      </c>
      <c r="G262" s="114"/>
      <c r="H262" s="176"/>
    </row>
    <row r="263" spans="1:9" ht="24.75" customHeight="1">
      <c r="A263" s="112"/>
      <c r="B263" s="128" t="s">
        <v>169</v>
      </c>
      <c r="C263" s="45"/>
      <c r="D263" s="15">
        <v>147.5</v>
      </c>
      <c r="E263" s="15"/>
      <c r="F263" s="15">
        <v>265.5</v>
      </c>
      <c r="G263" s="129">
        <f t="shared" si="30"/>
        <v>265.5</v>
      </c>
      <c r="H263" s="130" t="e">
        <f t="shared" si="31"/>
        <v>#DIV/0!</v>
      </c>
    </row>
    <row r="264" spans="1:9" ht="24.75" customHeight="1">
      <c r="A264" s="112"/>
      <c r="B264" s="128" t="s">
        <v>171</v>
      </c>
      <c r="C264" s="45"/>
      <c r="D264" s="15"/>
      <c r="E264" s="15"/>
      <c r="F264" s="15">
        <v>0.4</v>
      </c>
      <c r="G264" s="129"/>
      <c r="H264" s="130"/>
    </row>
    <row r="265" spans="1:9" ht="24.75" customHeight="1">
      <c r="A265" s="112"/>
      <c r="B265" s="128" t="s">
        <v>203</v>
      </c>
      <c r="C265" s="45"/>
      <c r="D265" s="15"/>
      <c r="E265" s="15"/>
      <c r="F265" s="15">
        <v>8.6</v>
      </c>
      <c r="G265" s="129">
        <f t="shared" si="30"/>
        <v>8.6</v>
      </c>
      <c r="H265" s="130" t="e">
        <f t="shared" si="31"/>
        <v>#DIV/0!</v>
      </c>
    </row>
    <row r="266" spans="1:9" ht="24.75" customHeight="1">
      <c r="A266" s="112"/>
      <c r="B266" s="128" t="s">
        <v>153</v>
      </c>
      <c r="C266" s="45"/>
      <c r="D266" s="15"/>
      <c r="E266" s="15"/>
      <c r="F266" s="15">
        <v>53.5</v>
      </c>
      <c r="G266" s="129"/>
      <c r="H266" s="130"/>
    </row>
    <row r="267" spans="1:9" ht="24.75" customHeight="1">
      <c r="A267" s="112"/>
      <c r="B267" s="128" t="s">
        <v>177</v>
      </c>
      <c r="C267" s="45"/>
      <c r="D267" s="15">
        <v>2.1</v>
      </c>
      <c r="E267" s="15"/>
      <c r="F267" s="15">
        <v>5.2</v>
      </c>
      <c r="G267" s="129">
        <f t="shared" si="30"/>
        <v>5.2</v>
      </c>
      <c r="H267" s="130" t="e">
        <f t="shared" si="31"/>
        <v>#DIV/0!</v>
      </c>
    </row>
    <row r="268" spans="1:9" ht="24.75" customHeight="1">
      <c r="A268" s="112" t="s">
        <v>259</v>
      </c>
      <c r="B268" s="122" t="s">
        <v>374</v>
      </c>
      <c r="C268" s="84"/>
      <c r="D268" s="14">
        <f>D270</f>
        <v>1.8</v>
      </c>
      <c r="E268" s="14">
        <f>E270</f>
        <v>0</v>
      </c>
      <c r="F268" s="14">
        <f>F270</f>
        <v>0</v>
      </c>
      <c r="G268" s="111">
        <f>F268-E268</f>
        <v>0</v>
      </c>
      <c r="H268" s="121" t="e">
        <f>(F268/E268)*100</f>
        <v>#DIV/0!</v>
      </c>
    </row>
    <row r="269" spans="1:9" ht="24.75" customHeight="1">
      <c r="A269" s="112"/>
      <c r="B269" s="145" t="s">
        <v>86</v>
      </c>
      <c r="C269" s="45"/>
      <c r="D269" s="15"/>
      <c r="E269" s="15"/>
      <c r="F269" s="15"/>
      <c r="G269" s="129"/>
      <c r="H269" s="130"/>
    </row>
    <row r="270" spans="1:9" ht="24.75" customHeight="1">
      <c r="A270" s="112" t="s">
        <v>432</v>
      </c>
      <c r="B270" s="122" t="s">
        <v>90</v>
      </c>
      <c r="C270" s="84">
        <v>1010</v>
      </c>
      <c r="D270" s="14">
        <f>D271</f>
        <v>1.8</v>
      </c>
      <c r="E270" s="14"/>
      <c r="F270" s="14">
        <f>F271</f>
        <v>0</v>
      </c>
      <c r="G270" s="111">
        <f>F270-E270</f>
        <v>0</v>
      </c>
      <c r="H270" s="121" t="e">
        <f>(F270/E270)*100</f>
        <v>#DIV/0!</v>
      </c>
    </row>
    <row r="271" spans="1:9" ht="24.75" customHeight="1">
      <c r="A271" s="113" t="s">
        <v>433</v>
      </c>
      <c r="B271" s="171" t="s">
        <v>107</v>
      </c>
      <c r="C271" s="51">
        <v>1015</v>
      </c>
      <c r="D271" s="41">
        <f>SUM(D272:D272)</f>
        <v>1.8</v>
      </c>
      <c r="E271" s="41"/>
      <c r="F271" s="41">
        <f>SUM(F272:F272)</f>
        <v>0</v>
      </c>
      <c r="G271" s="114">
        <f>F271-E271</f>
        <v>0</v>
      </c>
      <c r="H271" s="176" t="e">
        <f>(F271/E271)*100</f>
        <v>#DIV/0!</v>
      </c>
    </row>
    <row r="272" spans="1:9" ht="24.75" customHeight="1">
      <c r="A272" s="112"/>
      <c r="B272" s="128" t="s">
        <v>229</v>
      </c>
      <c r="C272" s="45"/>
      <c r="D272" s="15">
        <v>1.8</v>
      </c>
      <c r="E272" s="15"/>
      <c r="F272" s="15"/>
      <c r="G272" s="129">
        <f>F272-E272</f>
        <v>0</v>
      </c>
      <c r="H272" s="130" t="e">
        <f>(F272/E272)*100</f>
        <v>#DIV/0!</v>
      </c>
    </row>
    <row r="273" spans="1:10" ht="24.75" customHeight="1">
      <c r="A273" s="112" t="s">
        <v>232</v>
      </c>
      <c r="B273" s="122" t="s">
        <v>227</v>
      </c>
      <c r="C273" s="84"/>
      <c r="D273" s="14">
        <f>D275+D297</f>
        <v>262.09999999999997</v>
      </c>
      <c r="E273" s="14">
        <f>E275+E297</f>
        <v>0</v>
      </c>
      <c r="F273" s="14">
        <f>F275+F297+F312</f>
        <v>303.8</v>
      </c>
      <c r="G273" s="129">
        <f t="shared" si="30"/>
        <v>303.8</v>
      </c>
      <c r="H273" s="130" t="e">
        <f t="shared" si="31"/>
        <v>#DIV/0!</v>
      </c>
      <c r="J273" s="105"/>
    </row>
    <row r="274" spans="1:10" ht="24.75" customHeight="1">
      <c r="A274" s="112"/>
      <c r="B274" s="145" t="s">
        <v>86</v>
      </c>
      <c r="C274" s="84"/>
      <c r="D274" s="15"/>
      <c r="E274" s="15"/>
      <c r="F274" s="15"/>
      <c r="G274" s="129"/>
      <c r="H274" s="130"/>
    </row>
    <row r="275" spans="1:10" ht="24.75" customHeight="1">
      <c r="A275" s="112" t="s">
        <v>434</v>
      </c>
      <c r="B275" s="182" t="s">
        <v>90</v>
      </c>
      <c r="C275" s="84">
        <v>1010</v>
      </c>
      <c r="D275" s="14">
        <f>D276+D282+D283</f>
        <v>168.89999999999998</v>
      </c>
      <c r="E275" s="14">
        <f>E276+E282+E283</f>
        <v>0</v>
      </c>
      <c r="F275" s="14">
        <f>F276+F282+F283</f>
        <v>174.8</v>
      </c>
      <c r="G275" s="111">
        <f t="shared" si="30"/>
        <v>174.8</v>
      </c>
      <c r="H275" s="121" t="e">
        <f t="shared" si="31"/>
        <v>#DIV/0!</v>
      </c>
    </row>
    <row r="276" spans="1:10" ht="27.75" customHeight="1">
      <c r="A276" s="113" t="s">
        <v>435</v>
      </c>
      <c r="B276" s="125" t="s">
        <v>107</v>
      </c>
      <c r="C276" s="126">
        <v>1011</v>
      </c>
      <c r="D276" s="41">
        <f>SUM(D277:D281)</f>
        <v>124.3</v>
      </c>
      <c r="E276" s="41">
        <f>SUM(E277:E281)</f>
        <v>0</v>
      </c>
      <c r="F276" s="41">
        <f>SUM(F277:F281)</f>
        <v>86.800000000000011</v>
      </c>
      <c r="G276" s="114">
        <f t="shared" si="30"/>
        <v>86.800000000000011</v>
      </c>
      <c r="H276" s="176" t="e">
        <f t="shared" si="31"/>
        <v>#DIV/0!</v>
      </c>
    </row>
    <row r="277" spans="1:10" ht="24.75" customHeight="1">
      <c r="A277" s="112"/>
      <c r="B277" s="190" t="s">
        <v>181</v>
      </c>
      <c r="C277" s="123"/>
      <c r="D277" s="15">
        <v>5.3</v>
      </c>
      <c r="E277" s="15"/>
      <c r="F277" s="15"/>
      <c r="G277" s="129">
        <f t="shared" si="30"/>
        <v>0</v>
      </c>
      <c r="H277" s="130" t="e">
        <f t="shared" si="31"/>
        <v>#DIV/0!</v>
      </c>
    </row>
    <row r="278" spans="1:10" ht="24.75" customHeight="1">
      <c r="A278" s="200"/>
      <c r="B278" s="190" t="s">
        <v>228</v>
      </c>
      <c r="C278" s="123"/>
      <c r="D278" s="15">
        <v>43.3</v>
      </c>
      <c r="E278" s="15"/>
      <c r="F278" s="15">
        <v>9.8000000000000007</v>
      </c>
      <c r="G278" s="129">
        <f t="shared" si="30"/>
        <v>9.8000000000000007</v>
      </c>
      <c r="H278" s="130" t="e">
        <f t="shared" si="31"/>
        <v>#DIV/0!</v>
      </c>
    </row>
    <row r="279" spans="1:10" ht="24.75" customHeight="1">
      <c r="A279" s="200"/>
      <c r="B279" s="190" t="s">
        <v>140</v>
      </c>
      <c r="C279" s="123"/>
      <c r="D279" s="15">
        <v>24.8</v>
      </c>
      <c r="E279" s="15"/>
      <c r="F279" s="15"/>
      <c r="G279" s="129">
        <f t="shared" si="30"/>
        <v>0</v>
      </c>
      <c r="H279" s="130" t="e">
        <f t="shared" si="31"/>
        <v>#DIV/0!</v>
      </c>
    </row>
    <row r="280" spans="1:10" ht="42" customHeight="1">
      <c r="A280" s="200"/>
      <c r="B280" s="128" t="s">
        <v>215</v>
      </c>
      <c r="C280" s="123"/>
      <c r="D280" s="15">
        <v>38</v>
      </c>
      <c r="E280" s="15"/>
      <c r="F280" s="15">
        <f>2+21.8</f>
        <v>23.8</v>
      </c>
      <c r="G280" s="129">
        <f t="shared" si="30"/>
        <v>23.8</v>
      </c>
      <c r="H280" s="130" t="e">
        <f t="shared" si="31"/>
        <v>#DIV/0!</v>
      </c>
    </row>
    <row r="281" spans="1:10" ht="24.75" customHeight="1">
      <c r="A281" s="200"/>
      <c r="B281" s="128" t="s">
        <v>224</v>
      </c>
      <c r="C281" s="123"/>
      <c r="D281" s="15">
        <v>12.9</v>
      </c>
      <c r="E281" s="15"/>
      <c r="F281" s="15">
        <f>12.2+41</f>
        <v>53.2</v>
      </c>
      <c r="G281" s="129">
        <f t="shared" si="30"/>
        <v>53.2</v>
      </c>
      <c r="H281" s="130" t="e">
        <f t="shared" si="31"/>
        <v>#DIV/0!</v>
      </c>
    </row>
    <row r="282" spans="1:10" ht="24.75" customHeight="1">
      <c r="A282" s="113" t="s">
        <v>436</v>
      </c>
      <c r="B282" s="125" t="s">
        <v>4</v>
      </c>
      <c r="C282" s="51">
        <v>1014</v>
      </c>
      <c r="D282" s="41">
        <v>9.9</v>
      </c>
      <c r="E282" s="41"/>
      <c r="F282" s="41">
        <v>7.8</v>
      </c>
      <c r="G282" s="114">
        <f t="shared" si="30"/>
        <v>7.8</v>
      </c>
      <c r="H282" s="176" t="e">
        <f t="shared" si="31"/>
        <v>#DIV/0!</v>
      </c>
    </row>
    <row r="283" spans="1:10" ht="24.75" customHeight="1">
      <c r="A283" s="113" t="s">
        <v>437</v>
      </c>
      <c r="B283" s="69" t="s">
        <v>98</v>
      </c>
      <c r="C283" s="51">
        <v>1015</v>
      </c>
      <c r="D283" s="41">
        <f>SUM(D284:D296)</f>
        <v>34.700000000000003</v>
      </c>
      <c r="E283" s="41">
        <f>SUM(E284:E296)</f>
        <v>0</v>
      </c>
      <c r="F283" s="41">
        <f>SUM(F284:F296)</f>
        <v>80.199999999999989</v>
      </c>
      <c r="G283" s="114">
        <f t="shared" si="30"/>
        <v>80.199999999999989</v>
      </c>
      <c r="H283" s="176" t="e">
        <f t="shared" si="31"/>
        <v>#DIV/0!</v>
      </c>
      <c r="I283" s="158"/>
      <c r="J283" s="105"/>
    </row>
    <row r="284" spans="1:10" ht="24.75" customHeight="1">
      <c r="A284" s="112"/>
      <c r="B284" s="128" t="s">
        <v>150</v>
      </c>
      <c r="C284" s="84"/>
      <c r="D284" s="15">
        <v>4.3</v>
      </c>
      <c r="E284" s="15"/>
      <c r="F284" s="15"/>
      <c r="G284" s="129">
        <f t="shared" si="30"/>
        <v>0</v>
      </c>
      <c r="H284" s="130" t="e">
        <f t="shared" si="31"/>
        <v>#DIV/0!</v>
      </c>
    </row>
    <row r="285" spans="1:10" ht="24.75" customHeight="1">
      <c r="A285" s="112"/>
      <c r="B285" s="128" t="s">
        <v>151</v>
      </c>
      <c r="C285" s="84"/>
      <c r="D285" s="15">
        <v>4.4000000000000004</v>
      </c>
      <c r="E285" s="15"/>
      <c r="F285" s="15">
        <v>1.1000000000000001</v>
      </c>
      <c r="G285" s="129">
        <f t="shared" si="30"/>
        <v>1.1000000000000001</v>
      </c>
      <c r="H285" s="130" t="e">
        <f t="shared" si="31"/>
        <v>#DIV/0!</v>
      </c>
    </row>
    <row r="286" spans="1:10" ht="24.75" customHeight="1">
      <c r="A286" s="112"/>
      <c r="B286" s="128" t="s">
        <v>155</v>
      </c>
      <c r="C286" s="123"/>
      <c r="D286" s="15">
        <v>0.6</v>
      </c>
      <c r="E286" s="15"/>
      <c r="F286" s="15">
        <v>5.9</v>
      </c>
      <c r="G286" s="129">
        <f t="shared" si="30"/>
        <v>5.9</v>
      </c>
      <c r="H286" s="130" t="e">
        <f t="shared" si="31"/>
        <v>#DIV/0!</v>
      </c>
    </row>
    <row r="287" spans="1:10" ht="24.75" customHeight="1">
      <c r="A287" s="112"/>
      <c r="B287" s="128" t="s">
        <v>343</v>
      </c>
      <c r="C287" s="123"/>
      <c r="D287" s="15"/>
      <c r="E287" s="15"/>
      <c r="F287" s="15">
        <v>1.4</v>
      </c>
      <c r="G287" s="129">
        <f t="shared" si="30"/>
        <v>1.4</v>
      </c>
      <c r="H287" s="130" t="e">
        <f t="shared" si="31"/>
        <v>#DIV/0!</v>
      </c>
    </row>
    <row r="288" spans="1:10" ht="24.75" customHeight="1">
      <c r="A288" s="112"/>
      <c r="B288" s="128" t="s">
        <v>167</v>
      </c>
      <c r="C288" s="123"/>
      <c r="D288" s="15">
        <v>2.1</v>
      </c>
      <c r="E288" s="15"/>
      <c r="F288" s="15">
        <v>17.100000000000001</v>
      </c>
      <c r="G288" s="129"/>
      <c r="H288" s="130"/>
    </row>
    <row r="289" spans="1:8" ht="24.75" customHeight="1">
      <c r="A289" s="112"/>
      <c r="B289" s="128" t="s">
        <v>168</v>
      </c>
      <c r="C289" s="123"/>
      <c r="D289" s="15"/>
      <c r="E289" s="15"/>
      <c r="F289" s="15">
        <v>19.8</v>
      </c>
      <c r="G289" s="129">
        <f t="shared" si="30"/>
        <v>19.8</v>
      </c>
      <c r="H289" s="130" t="e">
        <f t="shared" si="31"/>
        <v>#DIV/0!</v>
      </c>
    </row>
    <row r="290" spans="1:8" ht="24.75" customHeight="1">
      <c r="A290" s="112"/>
      <c r="B290" s="128" t="s">
        <v>153</v>
      </c>
      <c r="C290" s="123"/>
      <c r="D290" s="15">
        <v>9.8000000000000007</v>
      </c>
      <c r="E290" s="15"/>
      <c r="F290" s="15"/>
      <c r="G290" s="129"/>
      <c r="H290" s="130"/>
    </row>
    <row r="291" spans="1:8" ht="36" customHeight="1">
      <c r="A291" s="112"/>
      <c r="B291" s="128" t="s">
        <v>225</v>
      </c>
      <c r="C291" s="123"/>
      <c r="D291" s="15">
        <v>1.5</v>
      </c>
      <c r="E291" s="15"/>
      <c r="F291" s="15"/>
      <c r="G291" s="129"/>
      <c r="H291" s="130"/>
    </row>
    <row r="292" spans="1:8" ht="24.75" customHeight="1">
      <c r="A292" s="112"/>
      <c r="B292" s="128" t="s">
        <v>166</v>
      </c>
      <c r="C292" s="123"/>
      <c r="D292" s="15">
        <v>0.8</v>
      </c>
      <c r="E292" s="15"/>
      <c r="F292" s="15">
        <v>0.8</v>
      </c>
      <c r="G292" s="129"/>
      <c r="H292" s="130"/>
    </row>
    <row r="293" spans="1:8" ht="24.75" customHeight="1">
      <c r="A293" s="112"/>
      <c r="B293" s="128" t="s">
        <v>243</v>
      </c>
      <c r="C293" s="123"/>
      <c r="D293" s="15"/>
      <c r="E293" s="15"/>
      <c r="F293" s="15">
        <v>1.2</v>
      </c>
      <c r="G293" s="129"/>
      <c r="H293" s="130"/>
    </row>
    <row r="294" spans="1:8" ht="23.25" customHeight="1">
      <c r="A294" s="112"/>
      <c r="B294" s="128" t="s">
        <v>171</v>
      </c>
      <c r="C294" s="123"/>
      <c r="D294" s="15">
        <v>4.3</v>
      </c>
      <c r="E294" s="15"/>
      <c r="F294" s="15">
        <v>0.4</v>
      </c>
      <c r="G294" s="129"/>
      <c r="H294" s="130"/>
    </row>
    <row r="295" spans="1:8" ht="24.75" customHeight="1">
      <c r="A295" s="112"/>
      <c r="B295" s="128" t="s">
        <v>242</v>
      </c>
      <c r="C295" s="123"/>
      <c r="D295" s="15"/>
      <c r="E295" s="15"/>
      <c r="F295" s="15">
        <f>17.2+6</f>
        <v>23.2</v>
      </c>
      <c r="G295" s="129">
        <f t="shared" si="30"/>
        <v>23.2</v>
      </c>
      <c r="H295" s="130" t="e">
        <f t="shared" si="31"/>
        <v>#DIV/0!</v>
      </c>
    </row>
    <row r="296" spans="1:8" ht="24.75" customHeight="1">
      <c r="A296" s="112"/>
      <c r="B296" s="46" t="s">
        <v>229</v>
      </c>
      <c r="C296" s="123"/>
      <c r="D296" s="15">
        <v>6.9</v>
      </c>
      <c r="E296" s="15"/>
      <c r="F296" s="15">
        <v>9.3000000000000007</v>
      </c>
      <c r="G296" s="129">
        <f t="shared" si="30"/>
        <v>9.3000000000000007</v>
      </c>
      <c r="H296" s="130" t="e">
        <f t="shared" si="31"/>
        <v>#DIV/0!</v>
      </c>
    </row>
    <row r="297" spans="1:8" ht="24.75" customHeight="1">
      <c r="A297" s="112" t="s">
        <v>438</v>
      </c>
      <c r="B297" s="182" t="s">
        <v>92</v>
      </c>
      <c r="C297" s="84">
        <v>1020</v>
      </c>
      <c r="D297" s="14">
        <f>D298+D301</f>
        <v>93.2</v>
      </c>
      <c r="E297" s="14">
        <f>E298+E301</f>
        <v>0</v>
      </c>
      <c r="F297" s="14">
        <f>F298+F301</f>
        <v>64.099999999999994</v>
      </c>
      <c r="G297" s="111">
        <f t="shared" si="30"/>
        <v>64.099999999999994</v>
      </c>
      <c r="H297" s="121" t="e">
        <f t="shared" si="31"/>
        <v>#DIV/0!</v>
      </c>
    </row>
    <row r="298" spans="1:8" ht="24.75" customHeight="1">
      <c r="A298" s="113" t="s">
        <v>439</v>
      </c>
      <c r="B298" s="199" t="s">
        <v>107</v>
      </c>
      <c r="C298" s="51">
        <v>1021</v>
      </c>
      <c r="D298" s="41">
        <f>D299+D300</f>
        <v>14.5</v>
      </c>
      <c r="E298" s="41">
        <f>E299+E300</f>
        <v>0</v>
      </c>
      <c r="F298" s="41">
        <f>F299+F300</f>
        <v>18.399999999999999</v>
      </c>
      <c r="G298" s="114">
        <f t="shared" si="30"/>
        <v>18.399999999999999</v>
      </c>
      <c r="H298" s="176" t="e">
        <f t="shared" si="31"/>
        <v>#DIV/0!</v>
      </c>
    </row>
    <row r="299" spans="1:8" ht="24.75" customHeight="1">
      <c r="A299" s="112"/>
      <c r="B299" s="46" t="s">
        <v>224</v>
      </c>
      <c r="C299" s="84"/>
      <c r="D299" s="15">
        <v>14.1</v>
      </c>
      <c r="E299" s="15"/>
      <c r="F299" s="15">
        <v>13</v>
      </c>
      <c r="G299" s="129">
        <f t="shared" si="30"/>
        <v>13</v>
      </c>
      <c r="H299" s="130" t="e">
        <f t="shared" si="31"/>
        <v>#DIV/0!</v>
      </c>
    </row>
    <row r="300" spans="1:8" ht="36" customHeight="1">
      <c r="A300" s="112"/>
      <c r="B300" s="46" t="s">
        <v>215</v>
      </c>
      <c r="C300" s="84"/>
      <c r="D300" s="15">
        <v>0.4</v>
      </c>
      <c r="E300" s="15"/>
      <c r="F300" s="15">
        <v>5.4</v>
      </c>
      <c r="G300" s="129">
        <f t="shared" si="30"/>
        <v>5.4</v>
      </c>
      <c r="H300" s="130" t="e">
        <f t="shared" si="31"/>
        <v>#DIV/0!</v>
      </c>
    </row>
    <row r="301" spans="1:8" ht="24.75" customHeight="1">
      <c r="A301" s="113" t="s">
        <v>440</v>
      </c>
      <c r="B301" s="125" t="s">
        <v>179</v>
      </c>
      <c r="C301" s="126">
        <v>1025</v>
      </c>
      <c r="D301" s="41">
        <f>SUM(D302:D311)</f>
        <v>78.7</v>
      </c>
      <c r="E301" s="41">
        <f>SUM(E302:E311)</f>
        <v>0</v>
      </c>
      <c r="F301" s="41">
        <f>SUM(F302:F311)</f>
        <v>45.7</v>
      </c>
      <c r="G301" s="114">
        <f t="shared" si="30"/>
        <v>45.7</v>
      </c>
      <c r="H301" s="176" t="e">
        <f t="shared" si="31"/>
        <v>#DIV/0!</v>
      </c>
    </row>
    <row r="302" spans="1:8" ht="24.75" customHeight="1">
      <c r="A302" s="112"/>
      <c r="B302" s="190" t="s">
        <v>155</v>
      </c>
      <c r="C302" s="123"/>
      <c r="D302" s="15">
        <v>1.3</v>
      </c>
      <c r="E302" s="15"/>
      <c r="F302" s="15">
        <v>2.9</v>
      </c>
      <c r="G302" s="129">
        <f t="shared" si="30"/>
        <v>2.9</v>
      </c>
      <c r="H302" s="130" t="e">
        <f t="shared" si="31"/>
        <v>#DIV/0!</v>
      </c>
    </row>
    <row r="303" spans="1:8" ht="40.5" customHeight="1">
      <c r="A303" s="112"/>
      <c r="B303" s="128" t="s">
        <v>225</v>
      </c>
      <c r="C303" s="120"/>
      <c r="D303" s="15">
        <v>13.9</v>
      </c>
      <c r="E303" s="15"/>
      <c r="F303" s="15">
        <v>26.2</v>
      </c>
      <c r="G303" s="129">
        <f t="shared" si="30"/>
        <v>26.2</v>
      </c>
      <c r="H303" s="130" t="e">
        <f t="shared" si="31"/>
        <v>#DIV/0!</v>
      </c>
    </row>
    <row r="304" spans="1:8" ht="27.75" customHeight="1">
      <c r="A304" s="112"/>
      <c r="B304" s="128" t="s">
        <v>173</v>
      </c>
      <c r="C304" s="120"/>
      <c r="D304" s="15">
        <v>2.6</v>
      </c>
      <c r="E304" s="15"/>
      <c r="F304" s="15">
        <f>1.5+1.6</f>
        <v>3.1</v>
      </c>
      <c r="G304" s="129">
        <f t="shared" si="30"/>
        <v>3.1</v>
      </c>
      <c r="H304" s="130" t="e">
        <f t="shared" si="31"/>
        <v>#DIV/0!</v>
      </c>
    </row>
    <row r="305" spans="1:10" ht="24" customHeight="1">
      <c r="A305" s="112"/>
      <c r="B305" s="128" t="s">
        <v>204</v>
      </c>
      <c r="C305" s="120"/>
      <c r="D305" s="15">
        <v>0.5</v>
      </c>
      <c r="E305" s="15"/>
      <c r="F305" s="15">
        <f>0.2+0.3</f>
        <v>0.5</v>
      </c>
      <c r="G305" s="129">
        <f t="shared" si="30"/>
        <v>0.5</v>
      </c>
      <c r="H305" s="130" t="e">
        <f t="shared" si="31"/>
        <v>#DIV/0!</v>
      </c>
    </row>
    <row r="306" spans="1:10" ht="24" customHeight="1">
      <c r="A306" s="112"/>
      <c r="B306" s="128" t="s">
        <v>160</v>
      </c>
      <c r="C306" s="120"/>
      <c r="D306" s="15"/>
      <c r="E306" s="15"/>
      <c r="F306" s="15">
        <v>5.2</v>
      </c>
      <c r="G306" s="129">
        <f t="shared" si="30"/>
        <v>5.2</v>
      </c>
      <c r="H306" s="130" t="e">
        <f t="shared" si="31"/>
        <v>#DIV/0!</v>
      </c>
    </row>
    <row r="307" spans="1:10" ht="28.5" customHeight="1">
      <c r="A307" s="112"/>
      <c r="B307" s="128" t="s">
        <v>231</v>
      </c>
      <c r="C307" s="120"/>
      <c r="D307" s="15">
        <v>3.3</v>
      </c>
      <c r="E307" s="15"/>
      <c r="F307" s="15">
        <v>1</v>
      </c>
      <c r="G307" s="129">
        <f t="shared" si="30"/>
        <v>1</v>
      </c>
      <c r="H307" s="130" t="e">
        <f t="shared" si="31"/>
        <v>#DIV/0!</v>
      </c>
    </row>
    <row r="308" spans="1:10" ht="28.5" customHeight="1">
      <c r="A308" s="112"/>
      <c r="B308" s="128" t="s">
        <v>413</v>
      </c>
      <c r="C308" s="120"/>
      <c r="D308" s="15"/>
      <c r="E308" s="15"/>
      <c r="F308" s="15">
        <v>3.1</v>
      </c>
      <c r="G308" s="129"/>
      <c r="H308" s="130"/>
    </row>
    <row r="309" spans="1:10" ht="28.5" customHeight="1">
      <c r="A309" s="112"/>
      <c r="B309" s="128" t="s">
        <v>168</v>
      </c>
      <c r="C309" s="120"/>
      <c r="D309" s="15"/>
      <c r="E309" s="15"/>
      <c r="F309" s="15">
        <v>3.7</v>
      </c>
      <c r="G309" s="129"/>
      <c r="H309" s="130"/>
    </row>
    <row r="310" spans="1:10" ht="28.5" customHeight="1">
      <c r="A310" s="112"/>
      <c r="B310" s="128" t="s">
        <v>240</v>
      </c>
      <c r="C310" s="120"/>
      <c r="D310" s="15">
        <v>5</v>
      </c>
      <c r="E310" s="15"/>
      <c r="F310" s="15"/>
      <c r="G310" s="129">
        <f t="shared" si="30"/>
        <v>0</v>
      </c>
      <c r="H310" s="130" t="e">
        <f t="shared" si="31"/>
        <v>#DIV/0!</v>
      </c>
    </row>
    <row r="311" spans="1:10" ht="22.5" customHeight="1">
      <c r="A311" s="112"/>
      <c r="B311" s="128" t="s">
        <v>230</v>
      </c>
      <c r="C311" s="120"/>
      <c r="D311" s="15">
        <v>52.1</v>
      </c>
      <c r="E311" s="15"/>
      <c r="F311" s="15"/>
      <c r="G311" s="129">
        <f t="shared" si="30"/>
        <v>0</v>
      </c>
      <c r="H311" s="130" t="e">
        <f t="shared" si="31"/>
        <v>#DIV/0!</v>
      </c>
    </row>
    <row r="312" spans="1:10" ht="26.25" customHeight="1">
      <c r="A312" s="112" t="s">
        <v>441</v>
      </c>
      <c r="B312" s="122" t="s">
        <v>344</v>
      </c>
      <c r="C312" s="123">
        <v>1030</v>
      </c>
      <c r="D312" s="15"/>
      <c r="E312" s="15"/>
      <c r="F312" s="14">
        <f>F313</f>
        <v>64.900000000000006</v>
      </c>
      <c r="G312" s="129">
        <f t="shared" ref="G312:G323" si="38">F312-E312</f>
        <v>64.900000000000006</v>
      </c>
      <c r="H312" s="130" t="e">
        <f t="shared" ref="H312:H323" si="39">(F312/E312)*100</f>
        <v>#DIV/0!</v>
      </c>
    </row>
    <row r="313" spans="1:10" ht="26.25" customHeight="1">
      <c r="A313" s="113" t="s">
        <v>442</v>
      </c>
      <c r="B313" s="171" t="s">
        <v>344</v>
      </c>
      <c r="C313" s="126">
        <v>1035</v>
      </c>
      <c r="D313" s="15"/>
      <c r="E313" s="15"/>
      <c r="F313" s="41">
        <f>F314+F315</f>
        <v>64.900000000000006</v>
      </c>
      <c r="G313" s="129">
        <f t="shared" si="38"/>
        <v>64.900000000000006</v>
      </c>
      <c r="H313" s="130" t="e">
        <f t="shared" si="39"/>
        <v>#DIV/0!</v>
      </c>
    </row>
    <row r="314" spans="1:10" ht="22.5" customHeight="1">
      <c r="A314" s="112"/>
      <c r="B314" s="128" t="s">
        <v>220</v>
      </c>
      <c r="C314" s="120"/>
      <c r="D314" s="15"/>
      <c r="E314" s="15"/>
      <c r="F314" s="15">
        <v>53.4</v>
      </c>
      <c r="G314" s="129">
        <f t="shared" si="38"/>
        <v>53.4</v>
      </c>
      <c r="H314" s="130" t="e">
        <f t="shared" si="39"/>
        <v>#DIV/0!</v>
      </c>
    </row>
    <row r="315" spans="1:10" ht="22.5" customHeight="1">
      <c r="A315" s="112"/>
      <c r="B315" s="128" t="s">
        <v>306</v>
      </c>
      <c r="C315" s="120"/>
      <c r="D315" s="15"/>
      <c r="E315" s="15"/>
      <c r="F315" s="15">
        <v>11.5</v>
      </c>
      <c r="G315" s="129">
        <f t="shared" si="38"/>
        <v>11.5</v>
      </c>
      <c r="H315" s="130" t="e">
        <f t="shared" si="39"/>
        <v>#DIV/0!</v>
      </c>
      <c r="J315" s="105"/>
    </row>
    <row r="316" spans="1:10" ht="24.75" customHeight="1">
      <c r="A316" s="112" t="s">
        <v>443</v>
      </c>
      <c r="B316" s="83" t="s">
        <v>233</v>
      </c>
      <c r="C316" s="123"/>
      <c r="D316" s="14">
        <f>D318+D321</f>
        <v>1324.8</v>
      </c>
      <c r="E316" s="14">
        <f>E318+E321</f>
        <v>1430</v>
      </c>
      <c r="F316" s="14">
        <f>F318+F321</f>
        <v>2877.7000000000003</v>
      </c>
      <c r="G316" s="129">
        <f t="shared" si="38"/>
        <v>1447.7000000000003</v>
      </c>
      <c r="H316" s="130">
        <f t="shared" si="39"/>
        <v>201.23776223776227</v>
      </c>
    </row>
    <row r="317" spans="1:10" ht="24.75" customHeight="1">
      <c r="A317" s="112"/>
      <c r="B317" s="167" t="s">
        <v>86</v>
      </c>
      <c r="C317" s="123"/>
      <c r="D317" s="15"/>
      <c r="E317" s="15"/>
      <c r="F317" s="15"/>
      <c r="G317" s="129"/>
      <c r="H317" s="130" t="e">
        <f t="shared" si="39"/>
        <v>#DIV/0!</v>
      </c>
    </row>
    <row r="318" spans="1:10" ht="24.75" customHeight="1">
      <c r="A318" s="112" t="s">
        <v>444</v>
      </c>
      <c r="B318" s="83" t="s">
        <v>90</v>
      </c>
      <c r="C318" s="123">
        <v>1010</v>
      </c>
      <c r="D318" s="14">
        <f t="shared" ref="D318:F319" si="40">D319</f>
        <v>669.4</v>
      </c>
      <c r="E318" s="14">
        <f t="shared" si="40"/>
        <v>900</v>
      </c>
      <c r="F318" s="14">
        <f t="shared" si="40"/>
        <v>2723.4</v>
      </c>
      <c r="G318" s="111">
        <f t="shared" si="38"/>
        <v>1823.4</v>
      </c>
      <c r="H318" s="111">
        <f t="shared" si="39"/>
        <v>302.60000000000002</v>
      </c>
      <c r="I318" s="177"/>
    </row>
    <row r="319" spans="1:10" ht="24.75" customHeight="1">
      <c r="A319" s="113" t="s">
        <v>445</v>
      </c>
      <c r="B319" s="69" t="s">
        <v>4</v>
      </c>
      <c r="C319" s="126">
        <v>1014</v>
      </c>
      <c r="D319" s="41">
        <f t="shared" si="40"/>
        <v>669.4</v>
      </c>
      <c r="E319" s="41">
        <f t="shared" si="40"/>
        <v>900</v>
      </c>
      <c r="F319" s="41">
        <f t="shared" si="40"/>
        <v>2723.4</v>
      </c>
      <c r="G319" s="114">
        <f t="shared" si="38"/>
        <v>1823.4</v>
      </c>
      <c r="H319" s="114">
        <f t="shared" si="39"/>
        <v>302.60000000000002</v>
      </c>
    </row>
    <row r="320" spans="1:10" ht="24.75" customHeight="1">
      <c r="A320" s="112"/>
      <c r="B320" s="46" t="s">
        <v>234</v>
      </c>
      <c r="C320" s="123"/>
      <c r="D320" s="15">
        <v>669.4</v>
      </c>
      <c r="E320" s="15">
        <v>900</v>
      </c>
      <c r="F320" s="15">
        <v>2723.4</v>
      </c>
      <c r="G320" s="129">
        <f t="shared" si="38"/>
        <v>1823.4</v>
      </c>
      <c r="H320" s="129">
        <f t="shared" si="39"/>
        <v>302.60000000000002</v>
      </c>
    </row>
    <row r="321" spans="1:17" ht="24.75" customHeight="1">
      <c r="A321" s="112" t="s">
        <v>446</v>
      </c>
      <c r="B321" s="83" t="s">
        <v>92</v>
      </c>
      <c r="C321" s="123">
        <v>1020</v>
      </c>
      <c r="D321" s="14">
        <f t="shared" ref="D321:F322" si="41">D322</f>
        <v>655.4</v>
      </c>
      <c r="E321" s="14">
        <f t="shared" si="41"/>
        <v>530</v>
      </c>
      <c r="F321" s="14">
        <f t="shared" si="41"/>
        <v>154.30000000000001</v>
      </c>
      <c r="G321" s="111">
        <f t="shared" si="38"/>
        <v>-375.7</v>
      </c>
      <c r="H321" s="111">
        <f t="shared" si="39"/>
        <v>29.113207547169811</v>
      </c>
      <c r="J321" s="105"/>
    </row>
    <row r="322" spans="1:17" ht="27" customHeight="1">
      <c r="A322" s="113" t="s">
        <v>447</v>
      </c>
      <c r="B322" s="69" t="s">
        <v>4</v>
      </c>
      <c r="C322" s="126">
        <v>1024</v>
      </c>
      <c r="D322" s="41">
        <f t="shared" si="41"/>
        <v>655.4</v>
      </c>
      <c r="E322" s="41">
        <f t="shared" si="41"/>
        <v>530</v>
      </c>
      <c r="F322" s="41">
        <f t="shared" si="41"/>
        <v>154.30000000000001</v>
      </c>
      <c r="G322" s="114">
        <f t="shared" si="38"/>
        <v>-375.7</v>
      </c>
      <c r="H322" s="114">
        <f t="shared" si="39"/>
        <v>29.113207547169811</v>
      </c>
    </row>
    <row r="323" spans="1:17" ht="27.75" customHeight="1">
      <c r="A323" s="159"/>
      <c r="B323" s="46" t="s">
        <v>309</v>
      </c>
      <c r="C323" s="53"/>
      <c r="D323" s="205">
        <v>655.4</v>
      </c>
      <c r="E323" s="205">
        <v>530</v>
      </c>
      <c r="F323" s="205">
        <v>154.30000000000001</v>
      </c>
      <c r="G323" s="159">
        <f t="shared" si="38"/>
        <v>-375.7</v>
      </c>
      <c r="H323" s="206">
        <f t="shared" si="39"/>
        <v>29.113207547169811</v>
      </c>
    </row>
    <row r="324" spans="1:17" ht="60.75" customHeight="1">
      <c r="B324" s="68" t="s">
        <v>252</v>
      </c>
      <c r="C324" s="16"/>
      <c r="D324" s="236"/>
      <c r="E324" s="236"/>
      <c r="F324" s="228" t="s">
        <v>205</v>
      </c>
      <c r="G324" s="228"/>
      <c r="H324" s="228"/>
    </row>
    <row r="325" spans="1:17" ht="34.5" customHeight="1">
      <c r="B325" s="81" t="s">
        <v>60</v>
      </c>
      <c r="C325" s="17"/>
      <c r="D325" s="232" t="s">
        <v>66</v>
      </c>
      <c r="E325" s="232"/>
      <c r="F325" s="229" t="s">
        <v>17</v>
      </c>
      <c r="G325" s="229"/>
      <c r="H325" s="229"/>
    </row>
    <row r="326" spans="1:17" ht="29.25" customHeight="1">
      <c r="B326" s="48"/>
      <c r="D326" s="86"/>
      <c r="E326" s="49"/>
      <c r="F326" s="49"/>
    </row>
    <row r="327" spans="1:17" ht="35.25" customHeight="1">
      <c r="B327" s="48"/>
      <c r="D327" s="86"/>
      <c r="E327" s="49"/>
      <c r="F327" s="49"/>
    </row>
    <row r="328" spans="1:17" ht="35.25" customHeight="1">
      <c r="B328" s="48"/>
      <c r="D328" s="86"/>
      <c r="E328" s="49"/>
      <c r="F328" s="49"/>
    </row>
    <row r="329" spans="1:17" s="50" customFormat="1" ht="39" customHeight="1">
      <c r="A329" s="17"/>
      <c r="B329" s="48"/>
      <c r="C329" s="81"/>
      <c r="D329" s="86"/>
      <c r="E329" s="49"/>
      <c r="F329" s="49"/>
      <c r="G329" s="17"/>
      <c r="H329" s="17"/>
      <c r="O329" s="149"/>
      <c r="P329" s="149"/>
      <c r="Q329" s="149"/>
    </row>
    <row r="330" spans="1:17" s="50" customFormat="1" ht="32.25" customHeight="1">
      <c r="A330" s="17"/>
      <c r="B330" s="48"/>
      <c r="C330" s="81"/>
      <c r="D330" s="86"/>
      <c r="E330" s="49"/>
      <c r="F330" s="49"/>
      <c r="G330" s="17"/>
      <c r="H330" s="17"/>
      <c r="O330" s="149"/>
      <c r="P330" s="149"/>
      <c r="Q330" s="149"/>
    </row>
    <row r="331" spans="1:17" s="50" customFormat="1" ht="31.5" customHeight="1">
      <c r="A331" s="17"/>
      <c r="B331" s="48"/>
      <c r="C331" s="81"/>
      <c r="D331" s="86"/>
      <c r="E331" s="49"/>
      <c r="F331" s="49"/>
      <c r="G331" s="17"/>
      <c r="H331" s="17"/>
      <c r="O331" s="149"/>
      <c r="P331" s="149"/>
      <c r="Q331" s="149"/>
    </row>
    <row r="332" spans="1:17" s="50" customFormat="1" ht="31.5" customHeight="1">
      <c r="A332" s="17"/>
      <c r="B332" s="48"/>
      <c r="C332" s="81"/>
      <c r="D332" s="86"/>
      <c r="E332" s="49"/>
      <c r="F332" s="49"/>
      <c r="G332" s="17"/>
      <c r="H332" s="17"/>
      <c r="O332" s="149"/>
      <c r="P332" s="149"/>
      <c r="Q332" s="149"/>
    </row>
    <row r="333" spans="1:17" s="50" customFormat="1" ht="29.25" customHeight="1">
      <c r="A333" s="17"/>
      <c r="B333" s="48"/>
      <c r="C333" s="81"/>
      <c r="D333" s="86"/>
      <c r="E333" s="49"/>
      <c r="F333" s="49"/>
      <c r="G333" s="17"/>
      <c r="H333" s="17"/>
      <c r="O333" s="149"/>
      <c r="P333" s="149"/>
      <c r="Q333" s="149"/>
    </row>
    <row r="334" spans="1:17" s="50" customFormat="1" ht="35.25" customHeight="1">
      <c r="A334" s="17"/>
      <c r="B334" s="48"/>
      <c r="C334" s="81"/>
      <c r="D334" s="86"/>
      <c r="E334" s="49"/>
      <c r="F334" s="49"/>
      <c r="G334" s="17"/>
      <c r="H334" s="17"/>
      <c r="O334" s="149"/>
      <c r="P334" s="149"/>
      <c r="Q334" s="149"/>
    </row>
    <row r="335" spans="1:17" s="50" customFormat="1" ht="41.25" customHeight="1">
      <c r="A335" s="17"/>
      <c r="B335" s="48"/>
      <c r="C335" s="81"/>
      <c r="D335" s="86"/>
      <c r="E335" s="49"/>
      <c r="F335" s="49"/>
      <c r="G335" s="17"/>
      <c r="H335" s="17"/>
      <c r="O335" s="149"/>
      <c r="P335" s="149"/>
      <c r="Q335" s="149"/>
    </row>
    <row r="336" spans="1:17" s="50" customFormat="1" ht="35.25" customHeight="1">
      <c r="A336" s="17"/>
      <c r="B336" s="48"/>
      <c r="C336" s="81"/>
      <c r="D336" s="86"/>
      <c r="E336" s="49"/>
      <c r="F336" s="49"/>
      <c r="G336" s="17"/>
      <c r="H336" s="17"/>
      <c r="O336" s="149"/>
      <c r="P336" s="149"/>
      <c r="Q336" s="149"/>
    </row>
    <row r="337" spans="1:17" s="50" customFormat="1" ht="41.25" customHeight="1">
      <c r="A337" s="17"/>
      <c r="B337" s="48"/>
      <c r="C337" s="81"/>
      <c r="D337" s="86"/>
      <c r="E337" s="49"/>
      <c r="F337" s="49"/>
      <c r="G337" s="17"/>
      <c r="H337" s="17"/>
      <c r="O337" s="149"/>
      <c r="P337" s="149"/>
      <c r="Q337" s="149"/>
    </row>
    <row r="338" spans="1:17" s="50" customFormat="1" ht="37.5" customHeight="1">
      <c r="A338" s="17"/>
      <c r="B338" s="48"/>
      <c r="C338" s="81"/>
      <c r="D338" s="86"/>
      <c r="E338" s="49"/>
      <c r="F338" s="49"/>
      <c r="G338" s="17"/>
      <c r="H338" s="17"/>
      <c r="O338" s="149"/>
      <c r="P338" s="149"/>
      <c r="Q338" s="149"/>
    </row>
    <row r="339" spans="1:17" s="50" customFormat="1" ht="37.5" customHeight="1">
      <c r="A339" s="17"/>
      <c r="B339" s="48"/>
      <c r="C339" s="81"/>
      <c r="D339" s="86"/>
      <c r="E339" s="49"/>
      <c r="F339" s="49"/>
      <c r="G339" s="17"/>
      <c r="H339" s="17"/>
      <c r="O339" s="149"/>
      <c r="P339" s="149"/>
      <c r="Q339" s="149"/>
    </row>
    <row r="340" spans="1:17" s="50" customFormat="1" ht="39" customHeight="1">
      <c r="A340" s="17"/>
      <c r="B340" s="48"/>
      <c r="C340" s="81"/>
      <c r="D340" s="86"/>
      <c r="E340" s="49"/>
      <c r="F340" s="49"/>
      <c r="G340" s="17"/>
      <c r="H340" s="17"/>
      <c r="O340" s="149"/>
      <c r="P340" s="149"/>
      <c r="Q340" s="149"/>
    </row>
    <row r="341" spans="1:17" s="50" customFormat="1" ht="35.25" customHeight="1">
      <c r="A341" s="17"/>
      <c r="B341" s="48"/>
      <c r="C341" s="81"/>
      <c r="D341" s="86"/>
      <c r="E341" s="49"/>
      <c r="F341" s="49"/>
      <c r="G341" s="17"/>
      <c r="H341" s="17"/>
      <c r="O341" s="149"/>
      <c r="P341" s="149"/>
      <c r="Q341" s="149"/>
    </row>
    <row r="342" spans="1:17" s="50" customFormat="1" ht="37.5" customHeight="1">
      <c r="A342" s="17"/>
      <c r="B342" s="48"/>
      <c r="C342" s="81"/>
      <c r="D342" s="86"/>
      <c r="E342" s="49"/>
      <c r="F342" s="49"/>
      <c r="G342" s="17"/>
      <c r="H342" s="17"/>
      <c r="O342" s="149"/>
      <c r="P342" s="149"/>
      <c r="Q342" s="149"/>
    </row>
    <row r="343" spans="1:17" s="50" customFormat="1" ht="31.5" customHeight="1">
      <c r="A343" s="17"/>
      <c r="B343" s="48"/>
      <c r="C343" s="81"/>
      <c r="D343" s="86"/>
      <c r="E343" s="49"/>
      <c r="F343" s="49"/>
      <c r="G343" s="17"/>
      <c r="H343" s="17"/>
      <c r="O343" s="149"/>
      <c r="P343" s="149"/>
      <c r="Q343" s="149"/>
    </row>
    <row r="344" spans="1:17" s="50" customFormat="1" ht="31.5" customHeight="1">
      <c r="A344" s="17"/>
      <c r="B344" s="48"/>
      <c r="C344" s="81"/>
      <c r="D344" s="86"/>
      <c r="E344" s="49"/>
      <c r="F344" s="49"/>
      <c r="G344" s="17"/>
      <c r="H344" s="17"/>
      <c r="O344" s="149"/>
      <c r="P344" s="149"/>
      <c r="Q344" s="149"/>
    </row>
    <row r="345" spans="1:17">
      <c r="B345" s="48"/>
      <c r="D345" s="86"/>
      <c r="E345" s="49"/>
      <c r="F345" s="49"/>
    </row>
    <row r="346" spans="1:17" ht="24.75" customHeight="1">
      <c r="B346" s="48"/>
      <c r="D346" s="86"/>
      <c r="E346" s="49"/>
      <c r="F346" s="49"/>
    </row>
    <row r="347" spans="1:17">
      <c r="B347" s="48"/>
      <c r="D347" s="86"/>
      <c r="E347" s="49"/>
      <c r="F347" s="49"/>
    </row>
    <row r="348" spans="1:17">
      <c r="B348" s="48"/>
      <c r="D348" s="86"/>
      <c r="E348" s="49"/>
      <c r="F348" s="49"/>
    </row>
    <row r="349" spans="1:17">
      <c r="B349" s="48"/>
      <c r="D349" s="86"/>
      <c r="E349" s="49"/>
      <c r="F349" s="49"/>
    </row>
    <row r="350" spans="1:17">
      <c r="B350" s="48"/>
      <c r="D350" s="86"/>
      <c r="E350" s="49"/>
      <c r="F350" s="49"/>
    </row>
    <row r="351" spans="1:17">
      <c r="B351" s="48"/>
      <c r="D351" s="86"/>
      <c r="E351" s="49"/>
      <c r="F351" s="49"/>
    </row>
    <row r="352" spans="1:17">
      <c r="B352" s="48"/>
      <c r="D352" s="86"/>
      <c r="E352" s="49"/>
      <c r="F352" s="49"/>
    </row>
    <row r="353" spans="2:6">
      <c r="B353" s="48"/>
      <c r="D353" s="86"/>
      <c r="E353" s="49"/>
      <c r="F353" s="49"/>
    </row>
    <row r="354" spans="2:6">
      <c r="B354" s="48"/>
      <c r="D354" s="86"/>
      <c r="E354" s="49"/>
      <c r="F354" s="49"/>
    </row>
    <row r="355" spans="2:6">
      <c r="B355" s="48"/>
      <c r="D355" s="86"/>
      <c r="E355" s="49"/>
      <c r="F355" s="49"/>
    </row>
    <row r="356" spans="2:6">
      <c r="B356" s="48"/>
      <c r="D356" s="86"/>
      <c r="E356" s="49"/>
      <c r="F356" s="49"/>
    </row>
    <row r="357" spans="2:6">
      <c r="B357" s="48"/>
      <c r="D357" s="86"/>
      <c r="E357" s="49"/>
      <c r="F357" s="49"/>
    </row>
    <row r="358" spans="2:6">
      <c r="B358" s="48"/>
      <c r="D358" s="86"/>
      <c r="E358" s="49"/>
      <c r="F358" s="49"/>
    </row>
    <row r="359" spans="2:6">
      <c r="B359" s="48"/>
      <c r="D359" s="86"/>
      <c r="E359" s="49"/>
      <c r="F359" s="49"/>
    </row>
    <row r="360" spans="2:6">
      <c r="B360" s="48"/>
      <c r="D360" s="86"/>
      <c r="E360" s="49"/>
      <c r="F360" s="49"/>
    </row>
    <row r="361" spans="2:6">
      <c r="B361" s="48"/>
      <c r="D361" s="86"/>
      <c r="E361" s="49"/>
      <c r="F361" s="49"/>
    </row>
    <row r="362" spans="2:6">
      <c r="B362" s="48"/>
      <c r="D362" s="86"/>
      <c r="E362" s="49"/>
      <c r="F362" s="49"/>
    </row>
    <row r="363" spans="2:6">
      <c r="B363" s="48"/>
      <c r="D363" s="86"/>
      <c r="E363" s="49"/>
      <c r="F363" s="49"/>
    </row>
    <row r="364" spans="2:6">
      <c r="B364" s="48"/>
      <c r="D364" s="86"/>
      <c r="E364" s="49"/>
      <c r="F364" s="49"/>
    </row>
    <row r="365" spans="2:6">
      <c r="B365" s="48"/>
      <c r="D365" s="86"/>
      <c r="E365" s="49"/>
      <c r="F365" s="49"/>
    </row>
    <row r="366" spans="2:6">
      <c r="B366" s="48"/>
      <c r="D366" s="86"/>
      <c r="E366" s="49"/>
      <c r="F366" s="49"/>
    </row>
    <row r="367" spans="2:6">
      <c r="B367" s="48"/>
      <c r="D367" s="86"/>
      <c r="E367" s="49"/>
      <c r="F367" s="49"/>
    </row>
    <row r="368" spans="2:6">
      <c r="B368" s="48"/>
      <c r="D368" s="86"/>
      <c r="E368" s="49"/>
      <c r="F368" s="49"/>
    </row>
    <row r="369" spans="2:6">
      <c r="B369" s="48"/>
      <c r="D369" s="86"/>
      <c r="E369" s="49"/>
      <c r="F369" s="49"/>
    </row>
    <row r="370" spans="2:6">
      <c r="B370" s="48"/>
      <c r="D370" s="86"/>
      <c r="E370" s="49"/>
      <c r="F370" s="49"/>
    </row>
    <row r="371" spans="2:6">
      <c r="B371" s="48"/>
      <c r="D371" s="86"/>
      <c r="E371" s="49"/>
      <c r="F371" s="49"/>
    </row>
    <row r="372" spans="2:6">
      <c r="B372" s="48"/>
      <c r="D372" s="86"/>
      <c r="E372" s="49"/>
      <c r="F372" s="49"/>
    </row>
    <row r="373" spans="2:6">
      <c r="B373" s="48"/>
      <c r="D373" s="86"/>
      <c r="E373" s="49"/>
      <c r="F373" s="49"/>
    </row>
    <row r="374" spans="2:6">
      <c r="B374" s="48"/>
      <c r="D374" s="86"/>
      <c r="E374" s="49"/>
      <c r="F374" s="49"/>
    </row>
    <row r="375" spans="2:6">
      <c r="B375" s="48"/>
      <c r="D375" s="86"/>
      <c r="E375" s="49"/>
      <c r="F375" s="49"/>
    </row>
    <row r="376" spans="2:6">
      <c r="B376" s="48"/>
      <c r="D376" s="86"/>
      <c r="E376" s="49"/>
      <c r="F376" s="49"/>
    </row>
    <row r="377" spans="2:6">
      <c r="B377" s="48"/>
      <c r="D377" s="86"/>
      <c r="E377" s="49"/>
      <c r="F377" s="49"/>
    </row>
    <row r="378" spans="2:6">
      <c r="B378" s="48"/>
      <c r="D378" s="86"/>
      <c r="E378" s="49"/>
      <c r="F378" s="49"/>
    </row>
    <row r="379" spans="2:6">
      <c r="B379" s="48"/>
      <c r="D379" s="86"/>
      <c r="E379" s="49"/>
      <c r="F379" s="49"/>
    </row>
    <row r="380" spans="2:6">
      <c r="B380" s="48"/>
    </row>
    <row r="381" spans="2:6">
      <c r="B381" s="54"/>
    </row>
    <row r="382" spans="2:6">
      <c r="B382" s="54"/>
    </row>
    <row r="383" spans="2:6">
      <c r="B383" s="54"/>
    </row>
    <row r="384" spans="2:6">
      <c r="B384" s="54"/>
    </row>
    <row r="385" spans="2:2">
      <c r="B385" s="54"/>
    </row>
    <row r="386" spans="2:2">
      <c r="B386" s="54"/>
    </row>
    <row r="387" spans="2:2">
      <c r="B387" s="54"/>
    </row>
    <row r="388" spans="2:2">
      <c r="B388" s="54"/>
    </row>
    <row r="389" spans="2:2">
      <c r="B389" s="54"/>
    </row>
    <row r="390" spans="2:2">
      <c r="B390" s="54"/>
    </row>
    <row r="391" spans="2:2">
      <c r="B391" s="54"/>
    </row>
    <row r="392" spans="2:2">
      <c r="B392" s="54"/>
    </row>
    <row r="393" spans="2:2">
      <c r="B393" s="54"/>
    </row>
    <row r="394" spans="2:2">
      <c r="B394" s="54"/>
    </row>
    <row r="395" spans="2:2">
      <c r="B395" s="54"/>
    </row>
    <row r="396" spans="2:2">
      <c r="B396" s="54"/>
    </row>
    <row r="397" spans="2:2">
      <c r="B397" s="54"/>
    </row>
    <row r="398" spans="2:2">
      <c r="B398" s="54"/>
    </row>
    <row r="399" spans="2:2">
      <c r="B399" s="54"/>
    </row>
    <row r="400" spans="2:2">
      <c r="B400" s="54"/>
    </row>
    <row r="401" spans="2:2">
      <c r="B401" s="54"/>
    </row>
    <row r="402" spans="2:2">
      <c r="B402" s="54"/>
    </row>
    <row r="403" spans="2:2">
      <c r="B403" s="54"/>
    </row>
    <row r="404" spans="2:2">
      <c r="B404" s="54"/>
    </row>
    <row r="405" spans="2:2">
      <c r="B405" s="54"/>
    </row>
    <row r="406" spans="2:2">
      <c r="B406" s="54"/>
    </row>
    <row r="407" spans="2:2">
      <c r="B407" s="54"/>
    </row>
    <row r="408" spans="2:2">
      <c r="B408" s="54"/>
    </row>
    <row r="409" spans="2:2">
      <c r="B409" s="54"/>
    </row>
    <row r="410" spans="2:2">
      <c r="B410" s="54"/>
    </row>
    <row r="411" spans="2:2">
      <c r="B411" s="54"/>
    </row>
    <row r="412" spans="2:2">
      <c r="B412" s="54"/>
    </row>
    <row r="413" spans="2:2">
      <c r="B413" s="54"/>
    </row>
    <row r="414" spans="2:2">
      <c r="B414" s="54"/>
    </row>
    <row r="415" spans="2:2">
      <c r="B415" s="54"/>
    </row>
    <row r="416" spans="2:2">
      <c r="B416" s="54"/>
    </row>
    <row r="417" spans="2:2">
      <c r="B417" s="54"/>
    </row>
    <row r="418" spans="2:2">
      <c r="B418" s="54"/>
    </row>
    <row r="419" spans="2:2">
      <c r="B419" s="54"/>
    </row>
    <row r="420" spans="2:2">
      <c r="B420" s="54"/>
    </row>
    <row r="421" spans="2:2">
      <c r="B421" s="54"/>
    </row>
    <row r="422" spans="2:2">
      <c r="B422" s="54"/>
    </row>
    <row r="423" spans="2:2">
      <c r="B423" s="54"/>
    </row>
    <row r="424" spans="2:2">
      <c r="B424" s="54"/>
    </row>
    <row r="425" spans="2:2">
      <c r="B425" s="54"/>
    </row>
    <row r="426" spans="2:2">
      <c r="B426" s="54"/>
    </row>
    <row r="427" spans="2:2">
      <c r="B427" s="54"/>
    </row>
    <row r="428" spans="2:2">
      <c r="B428" s="54"/>
    </row>
    <row r="429" spans="2:2">
      <c r="B429" s="54"/>
    </row>
    <row r="430" spans="2:2">
      <c r="B430" s="54"/>
    </row>
    <row r="431" spans="2:2">
      <c r="B431" s="54"/>
    </row>
    <row r="432" spans="2:2">
      <c r="B432" s="54"/>
    </row>
    <row r="433" spans="2:2">
      <c r="B433" s="54"/>
    </row>
    <row r="434" spans="2:2">
      <c r="B434" s="54"/>
    </row>
    <row r="435" spans="2:2">
      <c r="B435" s="54"/>
    </row>
    <row r="436" spans="2:2">
      <c r="B436" s="54"/>
    </row>
    <row r="437" spans="2:2">
      <c r="B437" s="54"/>
    </row>
    <row r="438" spans="2:2">
      <c r="B438" s="54"/>
    </row>
    <row r="439" spans="2:2">
      <c r="B439" s="54"/>
    </row>
    <row r="440" spans="2:2">
      <c r="B440" s="54"/>
    </row>
    <row r="441" spans="2:2">
      <c r="B441" s="54"/>
    </row>
    <row r="442" spans="2:2">
      <c r="B442" s="54"/>
    </row>
    <row r="443" spans="2:2">
      <c r="B443" s="54"/>
    </row>
    <row r="444" spans="2:2">
      <c r="B444" s="54"/>
    </row>
    <row r="445" spans="2:2">
      <c r="B445" s="54"/>
    </row>
    <row r="446" spans="2:2">
      <c r="B446" s="54"/>
    </row>
    <row r="447" spans="2:2">
      <c r="B447" s="54"/>
    </row>
    <row r="448" spans="2:2">
      <c r="B448" s="54"/>
    </row>
    <row r="449" spans="2:2">
      <c r="B449" s="54"/>
    </row>
    <row r="450" spans="2:2">
      <c r="B450" s="54"/>
    </row>
    <row r="451" spans="2:2">
      <c r="B451" s="54"/>
    </row>
    <row r="452" spans="2:2">
      <c r="B452" s="54"/>
    </row>
    <row r="453" spans="2:2">
      <c r="B453" s="54"/>
    </row>
    <row r="454" spans="2:2">
      <c r="B454" s="54"/>
    </row>
    <row r="455" spans="2:2">
      <c r="B455" s="54"/>
    </row>
    <row r="456" spans="2:2">
      <c r="B456" s="54"/>
    </row>
    <row r="457" spans="2:2">
      <c r="B457" s="54"/>
    </row>
    <row r="458" spans="2:2">
      <c r="B458" s="54"/>
    </row>
    <row r="459" spans="2:2">
      <c r="B459" s="54"/>
    </row>
    <row r="460" spans="2:2">
      <c r="B460" s="54"/>
    </row>
    <row r="461" spans="2:2">
      <c r="B461" s="54"/>
    </row>
    <row r="462" spans="2:2">
      <c r="B462" s="54"/>
    </row>
    <row r="463" spans="2:2">
      <c r="B463" s="54"/>
    </row>
    <row r="464" spans="2:2">
      <c r="B464" s="54"/>
    </row>
    <row r="465" spans="2:2">
      <c r="B465" s="54"/>
    </row>
    <row r="466" spans="2:2">
      <c r="B466" s="54"/>
    </row>
    <row r="467" spans="2:2">
      <c r="B467" s="54"/>
    </row>
    <row r="468" spans="2:2">
      <c r="B468" s="54"/>
    </row>
    <row r="469" spans="2:2">
      <c r="B469" s="54"/>
    </row>
    <row r="470" spans="2:2">
      <c r="B470" s="54"/>
    </row>
    <row r="471" spans="2:2">
      <c r="B471" s="54"/>
    </row>
    <row r="472" spans="2:2">
      <c r="B472" s="54"/>
    </row>
    <row r="473" spans="2:2">
      <c r="B473" s="54"/>
    </row>
    <row r="474" spans="2:2">
      <c r="B474" s="54"/>
    </row>
    <row r="475" spans="2:2">
      <c r="B475" s="54"/>
    </row>
    <row r="476" spans="2:2">
      <c r="B476" s="54"/>
    </row>
    <row r="477" spans="2:2">
      <c r="B477" s="54"/>
    </row>
    <row r="478" spans="2:2">
      <c r="B478" s="54"/>
    </row>
    <row r="479" spans="2:2">
      <c r="B479" s="54"/>
    </row>
    <row r="480" spans="2:2">
      <c r="B480" s="54"/>
    </row>
    <row r="481" spans="2:2">
      <c r="B481" s="54"/>
    </row>
    <row r="482" spans="2:2">
      <c r="B482" s="54"/>
    </row>
    <row r="483" spans="2:2">
      <c r="B483" s="54"/>
    </row>
    <row r="484" spans="2:2">
      <c r="B484" s="54"/>
    </row>
    <row r="485" spans="2:2">
      <c r="B485" s="54"/>
    </row>
    <row r="486" spans="2:2">
      <c r="B486" s="54"/>
    </row>
    <row r="487" spans="2:2">
      <c r="B487" s="54"/>
    </row>
    <row r="488" spans="2:2">
      <c r="B488" s="54"/>
    </row>
    <row r="489" spans="2:2">
      <c r="B489" s="54"/>
    </row>
    <row r="490" spans="2:2">
      <c r="B490" s="54"/>
    </row>
    <row r="491" spans="2:2">
      <c r="B491" s="54"/>
    </row>
    <row r="492" spans="2:2">
      <c r="B492" s="54"/>
    </row>
    <row r="493" spans="2:2">
      <c r="B493" s="54"/>
    </row>
    <row r="494" spans="2:2">
      <c r="B494" s="54"/>
    </row>
    <row r="495" spans="2:2">
      <c r="B495" s="54"/>
    </row>
    <row r="496" spans="2:2">
      <c r="B496" s="54"/>
    </row>
    <row r="497" spans="2:2">
      <c r="B497" s="54"/>
    </row>
    <row r="498" spans="2:2">
      <c r="B498" s="54"/>
    </row>
    <row r="499" spans="2:2">
      <c r="B499" s="54"/>
    </row>
    <row r="500" spans="2:2">
      <c r="B500" s="54"/>
    </row>
    <row r="501" spans="2:2">
      <c r="B501" s="54"/>
    </row>
    <row r="502" spans="2:2">
      <c r="B502" s="54"/>
    </row>
    <row r="503" spans="2:2">
      <c r="B503" s="54"/>
    </row>
    <row r="504" spans="2:2">
      <c r="B504" s="54"/>
    </row>
    <row r="505" spans="2:2">
      <c r="B505" s="54"/>
    </row>
    <row r="506" spans="2:2">
      <c r="B506" s="54"/>
    </row>
    <row r="507" spans="2:2">
      <c r="B507" s="54"/>
    </row>
    <row r="508" spans="2:2">
      <c r="B508" s="54"/>
    </row>
    <row r="509" spans="2:2">
      <c r="B509" s="54"/>
    </row>
    <row r="510" spans="2:2">
      <c r="B510" s="54"/>
    </row>
    <row r="511" spans="2:2">
      <c r="B511" s="54"/>
    </row>
    <row r="512" spans="2:2">
      <c r="B512" s="54"/>
    </row>
    <row r="513" spans="2:2">
      <c r="B513" s="54"/>
    </row>
    <row r="514" spans="2:2">
      <c r="B514" s="54"/>
    </row>
    <row r="515" spans="2:2">
      <c r="B515" s="54"/>
    </row>
    <row r="516" spans="2:2">
      <c r="B516" s="54"/>
    </row>
    <row r="517" spans="2:2">
      <c r="B517" s="54"/>
    </row>
    <row r="518" spans="2:2">
      <c r="B518" s="54"/>
    </row>
    <row r="519" spans="2:2">
      <c r="B519" s="54"/>
    </row>
    <row r="520" spans="2:2">
      <c r="B520" s="54"/>
    </row>
    <row r="521" spans="2:2">
      <c r="B521" s="54"/>
    </row>
    <row r="522" spans="2:2">
      <c r="B522" s="54"/>
    </row>
    <row r="523" spans="2:2">
      <c r="B523" s="54"/>
    </row>
    <row r="524" spans="2:2">
      <c r="B524" s="54"/>
    </row>
    <row r="525" spans="2:2">
      <c r="B525" s="54"/>
    </row>
    <row r="526" spans="2:2">
      <c r="B526" s="54"/>
    </row>
    <row r="527" spans="2:2">
      <c r="B527" s="54"/>
    </row>
    <row r="528" spans="2:2">
      <c r="B528" s="54"/>
    </row>
    <row r="529" spans="2:2">
      <c r="B529" s="54"/>
    </row>
    <row r="530" spans="2:2">
      <c r="B530" s="54"/>
    </row>
    <row r="531" spans="2:2">
      <c r="B531" s="54"/>
    </row>
    <row r="532" spans="2:2">
      <c r="B532" s="54"/>
    </row>
    <row r="533" spans="2:2">
      <c r="B533" s="54"/>
    </row>
    <row r="534" spans="2:2">
      <c r="B534" s="54"/>
    </row>
    <row r="535" spans="2:2">
      <c r="B535" s="54"/>
    </row>
    <row r="536" spans="2:2">
      <c r="B536" s="54"/>
    </row>
    <row r="537" spans="2:2">
      <c r="B537" s="54"/>
    </row>
    <row r="538" spans="2:2">
      <c r="B538" s="54"/>
    </row>
    <row r="539" spans="2:2">
      <c r="B539" s="54"/>
    </row>
    <row r="540" spans="2:2">
      <c r="B540" s="54"/>
    </row>
    <row r="541" spans="2:2">
      <c r="B541" s="54"/>
    </row>
    <row r="542" spans="2:2">
      <c r="B542" s="54"/>
    </row>
    <row r="543" spans="2:2">
      <c r="B543" s="54"/>
    </row>
    <row r="544" spans="2:2">
      <c r="B544" s="54"/>
    </row>
    <row r="545" spans="2:2">
      <c r="B545" s="54"/>
    </row>
    <row r="546" spans="2:2">
      <c r="B546" s="54"/>
    </row>
    <row r="547" spans="2:2">
      <c r="B547" s="54"/>
    </row>
  </sheetData>
  <mergeCells count="6">
    <mergeCell ref="D324:E324"/>
    <mergeCell ref="D325:E325"/>
    <mergeCell ref="B2:H2"/>
    <mergeCell ref="A6:B6"/>
    <mergeCell ref="F324:H324"/>
    <mergeCell ref="F325:H325"/>
  </mergeCells>
  <pageMargins left="0.39370078740157483" right="0.19685039370078741" top="0.78740157480314965" bottom="0.39370078740157483" header="0.31496062992125984" footer="0.31496062992125984"/>
  <pageSetup paperSize="9" scale="60" orientation="portrait" r:id="rId1"/>
  <rowBreaks count="3" manualBreakCount="3">
    <brk id="244" max="7" man="1"/>
    <brk id="273" max="7" man="1"/>
    <brk id="29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K300"/>
  <sheetViews>
    <sheetView view="pageBreakPreview" topLeftCell="A49" zoomScale="70" zoomScaleNormal="100" zoomScaleSheetLayoutView="70" workbookViewId="0">
      <selection activeCell="O65" sqref="O65"/>
    </sheetView>
  </sheetViews>
  <sheetFormatPr defaultRowHeight="18.75"/>
  <cols>
    <col min="1" max="1" width="60.28515625" style="17" customWidth="1"/>
    <col min="2" max="2" width="13.140625" style="81" customWidth="1"/>
    <col min="3" max="3" width="16.140625" style="81" customWidth="1"/>
    <col min="4" max="4" width="16.7109375" style="81" customWidth="1"/>
    <col min="5" max="5" width="16.140625" style="81" customWidth="1"/>
    <col min="6" max="6" width="16" style="149" customWidth="1"/>
    <col min="7" max="7" width="16.42578125" style="17" customWidth="1"/>
    <col min="8" max="10" width="9.140625" style="17"/>
    <col min="11" max="12" width="15.7109375" style="17" bestFit="1" customWidth="1"/>
    <col min="13" max="14" width="12.140625" style="17" bestFit="1" customWidth="1"/>
    <col min="15" max="15" width="15.7109375" style="17" bestFit="1" customWidth="1"/>
    <col min="16" max="17" width="14.28515625" style="17" bestFit="1" customWidth="1"/>
    <col min="18" max="16384" width="9.140625" style="17"/>
  </cols>
  <sheetData>
    <row r="1" spans="1:7" ht="27.75" customHeight="1">
      <c r="A1" s="230" t="s">
        <v>104</v>
      </c>
      <c r="B1" s="230"/>
      <c r="C1" s="230"/>
      <c r="D1" s="230"/>
      <c r="E1" s="230"/>
      <c r="F1" s="230"/>
    </row>
    <row r="2" spans="1:7" ht="19.5" customHeight="1">
      <c r="A2" s="85"/>
      <c r="B2" s="52"/>
      <c r="C2" s="85"/>
      <c r="D2" s="85"/>
      <c r="E2" s="85"/>
      <c r="F2" s="85"/>
      <c r="G2" s="97" t="s">
        <v>65</v>
      </c>
    </row>
    <row r="3" spans="1:7" ht="64.5" customHeight="1">
      <c r="A3" s="53" t="s">
        <v>23</v>
      </c>
      <c r="B3" s="45" t="s">
        <v>5</v>
      </c>
      <c r="C3" s="45" t="s">
        <v>354</v>
      </c>
      <c r="D3" s="45" t="s">
        <v>355</v>
      </c>
      <c r="E3" s="45" t="s">
        <v>356</v>
      </c>
      <c r="F3" s="98" t="s">
        <v>115</v>
      </c>
      <c r="G3" s="45" t="s">
        <v>116</v>
      </c>
    </row>
    <row r="4" spans="1:7" ht="18" customHeight="1">
      <c r="A4" s="53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53">
        <v>7</v>
      </c>
    </row>
    <row r="5" spans="1:7" ht="39.75" customHeight="1">
      <c r="A5" s="83" t="s">
        <v>13</v>
      </c>
      <c r="B5" s="84">
        <v>4000</v>
      </c>
      <c r="C5" s="14">
        <f>C6+C25+C74</f>
        <v>3946.2000000000003</v>
      </c>
      <c r="D5" s="14">
        <f>D6+D25+D74</f>
        <v>0</v>
      </c>
      <c r="E5" s="14">
        <f>E6+E25+E74</f>
        <v>2742.7000000000003</v>
      </c>
      <c r="F5" s="14">
        <f>E5-D5</f>
        <v>2742.7000000000003</v>
      </c>
      <c r="G5" s="80" t="e">
        <f>(E5/D5)*100</f>
        <v>#DIV/0!</v>
      </c>
    </row>
    <row r="6" spans="1:7" ht="30" customHeight="1">
      <c r="A6" s="69" t="s">
        <v>0</v>
      </c>
      <c r="B6" s="51">
        <v>4020</v>
      </c>
      <c r="C6" s="41">
        <f>SUM(C7:C17)</f>
        <v>3496.2000000000003</v>
      </c>
      <c r="D6" s="41">
        <f>SUM(D7:D17)</f>
        <v>0</v>
      </c>
      <c r="E6" s="41">
        <f>SUM(E7:E24)</f>
        <v>2044.8000000000002</v>
      </c>
      <c r="F6" s="41">
        <f>E6-D6</f>
        <v>2044.8000000000002</v>
      </c>
      <c r="G6" s="80" t="e">
        <f>(E6/D6)*100</f>
        <v>#DIV/0!</v>
      </c>
    </row>
    <row r="7" spans="1:7" ht="23.25" customHeight="1">
      <c r="A7" s="99" t="s">
        <v>222</v>
      </c>
      <c r="B7" s="51"/>
      <c r="C7" s="15">
        <v>162.5</v>
      </c>
      <c r="D7" s="41"/>
      <c r="E7" s="41"/>
      <c r="F7" s="41">
        <f t="shared" ref="F7" si="0">E7-D7</f>
        <v>0</v>
      </c>
      <c r="G7" s="80" t="e">
        <f t="shared" ref="G7" si="1">(E7/D7)*100</f>
        <v>#DIV/0!</v>
      </c>
    </row>
    <row r="8" spans="1:7" ht="42" customHeight="1">
      <c r="A8" s="134" t="s">
        <v>375</v>
      </c>
      <c r="B8" s="51"/>
      <c r="C8" s="15">
        <v>103.9</v>
      </c>
      <c r="D8" s="41"/>
      <c r="E8" s="41"/>
      <c r="F8" s="41">
        <f t="shared" ref="F8:F70" si="2">E8-D8</f>
        <v>0</v>
      </c>
      <c r="G8" s="80" t="e">
        <f t="shared" ref="G8:G70" si="3">(E8/D8)*100</f>
        <v>#DIV/0!</v>
      </c>
    </row>
    <row r="9" spans="1:7" ht="39.75" customHeight="1">
      <c r="A9" s="134" t="s">
        <v>376</v>
      </c>
      <c r="B9" s="51"/>
      <c r="C9" s="15">
        <v>158.6</v>
      </c>
      <c r="D9" s="41"/>
      <c r="E9" s="41"/>
      <c r="F9" s="41">
        <f t="shared" si="2"/>
        <v>0</v>
      </c>
      <c r="G9" s="80" t="e">
        <f t="shared" si="3"/>
        <v>#DIV/0!</v>
      </c>
    </row>
    <row r="10" spans="1:7" ht="22.5" customHeight="1">
      <c r="A10" s="134" t="s">
        <v>377</v>
      </c>
      <c r="B10" s="51"/>
      <c r="C10" s="15">
        <v>50.4</v>
      </c>
      <c r="D10" s="41"/>
      <c r="E10" s="41"/>
      <c r="F10" s="41">
        <f t="shared" si="2"/>
        <v>0</v>
      </c>
      <c r="G10" s="80" t="e">
        <f t="shared" si="3"/>
        <v>#DIV/0!</v>
      </c>
    </row>
    <row r="11" spans="1:7" ht="40.5" customHeight="1">
      <c r="A11" s="135" t="s">
        <v>378</v>
      </c>
      <c r="B11" s="51"/>
      <c r="C11" s="15">
        <v>2022.6</v>
      </c>
      <c r="D11" s="41"/>
      <c r="E11" s="41"/>
      <c r="F11" s="41">
        <f t="shared" si="2"/>
        <v>0</v>
      </c>
      <c r="G11" s="80" t="e">
        <f t="shared" si="3"/>
        <v>#DIV/0!</v>
      </c>
    </row>
    <row r="12" spans="1:7" ht="23.25" customHeight="1">
      <c r="A12" s="135" t="s">
        <v>379</v>
      </c>
      <c r="B12" s="51"/>
      <c r="C12" s="15">
        <v>455.4</v>
      </c>
      <c r="D12" s="41"/>
      <c r="E12" s="41"/>
      <c r="F12" s="41">
        <f t="shared" si="2"/>
        <v>0</v>
      </c>
      <c r="G12" s="80" t="e">
        <f t="shared" si="3"/>
        <v>#DIV/0!</v>
      </c>
    </row>
    <row r="13" spans="1:7" ht="24.75" customHeight="1">
      <c r="A13" s="136" t="s">
        <v>380</v>
      </c>
      <c r="B13" s="51"/>
      <c r="C13" s="15">
        <v>235.3</v>
      </c>
      <c r="D13" s="41"/>
      <c r="E13" s="41"/>
      <c r="F13" s="41">
        <f t="shared" si="2"/>
        <v>0</v>
      </c>
      <c r="G13" s="80" t="e">
        <f t="shared" si="3"/>
        <v>#DIV/0!</v>
      </c>
    </row>
    <row r="14" spans="1:7" ht="40.5" customHeight="1">
      <c r="A14" s="135" t="s">
        <v>381</v>
      </c>
      <c r="B14" s="51"/>
      <c r="C14" s="15">
        <v>307.5</v>
      </c>
      <c r="D14" s="41"/>
      <c r="E14" s="41"/>
      <c r="F14" s="41">
        <f t="shared" si="2"/>
        <v>0</v>
      </c>
      <c r="G14" s="80" t="e">
        <f t="shared" si="3"/>
        <v>#DIV/0!</v>
      </c>
    </row>
    <row r="15" spans="1:7" ht="24.75" customHeight="1">
      <c r="A15" s="99" t="s">
        <v>269</v>
      </c>
      <c r="B15" s="100"/>
      <c r="C15" s="19"/>
      <c r="D15" s="19"/>
      <c r="E15" s="15">
        <v>40</v>
      </c>
      <c r="F15" s="41">
        <f t="shared" si="2"/>
        <v>40</v>
      </c>
      <c r="G15" s="80" t="e">
        <f t="shared" si="3"/>
        <v>#DIV/0!</v>
      </c>
    </row>
    <row r="16" spans="1:7" ht="21.75" customHeight="1">
      <c r="A16" s="99" t="s">
        <v>270</v>
      </c>
      <c r="B16" s="100"/>
      <c r="C16" s="15"/>
      <c r="D16" s="19"/>
      <c r="E16" s="19">
        <v>30.5</v>
      </c>
      <c r="F16" s="41">
        <f t="shared" si="2"/>
        <v>30.5</v>
      </c>
      <c r="G16" s="80" t="e">
        <f t="shared" si="3"/>
        <v>#DIV/0!</v>
      </c>
    </row>
    <row r="17" spans="1:7" ht="38.25" customHeight="1">
      <c r="A17" s="101" t="s">
        <v>268</v>
      </c>
      <c r="B17" s="100"/>
      <c r="C17" s="15"/>
      <c r="D17" s="15"/>
      <c r="E17" s="15">
        <v>258.5</v>
      </c>
      <c r="F17" s="41">
        <f t="shared" si="2"/>
        <v>258.5</v>
      </c>
      <c r="G17" s="80" t="e">
        <f t="shared" si="3"/>
        <v>#DIV/0!</v>
      </c>
    </row>
    <row r="18" spans="1:7" ht="21" customHeight="1">
      <c r="A18" s="101" t="s">
        <v>349</v>
      </c>
      <c r="B18" s="100"/>
      <c r="C18" s="15"/>
      <c r="D18" s="15"/>
      <c r="E18" s="15">
        <v>42.1</v>
      </c>
      <c r="F18" s="41">
        <f t="shared" si="2"/>
        <v>42.1</v>
      </c>
      <c r="G18" s="80" t="e">
        <f t="shared" si="3"/>
        <v>#DIV/0!</v>
      </c>
    </row>
    <row r="19" spans="1:7" ht="40.5" customHeight="1">
      <c r="A19" s="101" t="s">
        <v>390</v>
      </c>
      <c r="B19" s="100"/>
      <c r="C19" s="15"/>
      <c r="D19" s="15"/>
      <c r="E19" s="15">
        <v>191.8</v>
      </c>
      <c r="F19" s="41">
        <f t="shared" si="2"/>
        <v>191.8</v>
      </c>
      <c r="G19" s="80" t="e">
        <f t="shared" si="3"/>
        <v>#DIV/0!</v>
      </c>
    </row>
    <row r="20" spans="1:7" ht="21" customHeight="1">
      <c r="A20" s="101" t="s">
        <v>391</v>
      </c>
      <c r="B20" s="100"/>
      <c r="C20" s="15"/>
      <c r="D20" s="15"/>
      <c r="E20" s="15">
        <v>240</v>
      </c>
      <c r="F20" s="41">
        <f t="shared" si="2"/>
        <v>240</v>
      </c>
      <c r="G20" s="80" t="e">
        <f t="shared" si="3"/>
        <v>#DIV/0!</v>
      </c>
    </row>
    <row r="21" spans="1:7" ht="21" customHeight="1">
      <c r="A21" s="101" t="s">
        <v>392</v>
      </c>
      <c r="B21" s="100"/>
      <c r="C21" s="15"/>
      <c r="D21" s="15"/>
      <c r="E21" s="15">
        <v>25.6</v>
      </c>
      <c r="F21" s="41">
        <f t="shared" si="2"/>
        <v>25.6</v>
      </c>
      <c r="G21" s="80" t="e">
        <f t="shared" si="3"/>
        <v>#DIV/0!</v>
      </c>
    </row>
    <row r="22" spans="1:7" ht="21" customHeight="1">
      <c r="A22" s="101" t="s">
        <v>395</v>
      </c>
      <c r="B22" s="100"/>
      <c r="C22" s="15"/>
      <c r="D22" s="15"/>
      <c r="E22" s="15">
        <v>385.2</v>
      </c>
      <c r="F22" s="41">
        <f t="shared" si="2"/>
        <v>385.2</v>
      </c>
      <c r="G22" s="80" t="e">
        <f t="shared" si="3"/>
        <v>#DIV/0!</v>
      </c>
    </row>
    <row r="23" spans="1:7" ht="21" customHeight="1">
      <c r="A23" s="101" t="s">
        <v>393</v>
      </c>
      <c r="B23" s="100"/>
      <c r="C23" s="15"/>
      <c r="D23" s="15"/>
      <c r="E23" s="15">
        <v>237.7</v>
      </c>
      <c r="F23" s="41">
        <f t="shared" si="2"/>
        <v>237.7</v>
      </c>
      <c r="G23" s="80" t="e">
        <f t="shared" si="3"/>
        <v>#DIV/0!</v>
      </c>
    </row>
    <row r="24" spans="1:7" ht="38.25" customHeight="1">
      <c r="A24" s="101" t="s">
        <v>394</v>
      </c>
      <c r="B24" s="100"/>
      <c r="C24" s="15"/>
      <c r="D24" s="15"/>
      <c r="E24" s="15">
        <v>593.4</v>
      </c>
      <c r="F24" s="41">
        <f t="shared" si="2"/>
        <v>593.4</v>
      </c>
      <c r="G24" s="80" t="e">
        <f t="shared" si="3"/>
        <v>#DIV/0!</v>
      </c>
    </row>
    <row r="25" spans="1:7" s="50" customFormat="1" ht="38.25" customHeight="1">
      <c r="A25" s="69" t="s">
        <v>7</v>
      </c>
      <c r="B25" s="102">
        <v>4030</v>
      </c>
      <c r="C25" s="41">
        <f>SUM(C26:C73)</f>
        <v>145.1</v>
      </c>
      <c r="D25" s="41">
        <f>SUM(D26:D65)</f>
        <v>0</v>
      </c>
      <c r="E25" s="41">
        <f>SUM(E26:E73)</f>
        <v>453.90000000000003</v>
      </c>
      <c r="F25" s="41">
        <f t="shared" si="2"/>
        <v>453.90000000000003</v>
      </c>
      <c r="G25" s="80" t="e">
        <f t="shared" si="3"/>
        <v>#DIV/0!</v>
      </c>
    </row>
    <row r="26" spans="1:7" s="50" customFormat="1" ht="24.75" customHeight="1">
      <c r="A26" s="46" t="s">
        <v>271</v>
      </c>
      <c r="B26" s="103"/>
      <c r="C26" s="15"/>
      <c r="D26" s="15"/>
      <c r="E26" s="15">
        <v>1.6</v>
      </c>
      <c r="F26" s="14">
        <f t="shared" si="2"/>
        <v>1.6</v>
      </c>
      <c r="G26" s="80" t="e">
        <f t="shared" si="3"/>
        <v>#DIV/0!</v>
      </c>
    </row>
    <row r="27" spans="1:7" s="50" customFormat="1" ht="24.75" customHeight="1">
      <c r="A27" s="46" t="s">
        <v>272</v>
      </c>
      <c r="B27" s="103"/>
      <c r="C27" s="15"/>
      <c r="D27" s="15"/>
      <c r="E27" s="15">
        <v>2.2000000000000002</v>
      </c>
      <c r="F27" s="14">
        <f t="shared" si="2"/>
        <v>2.2000000000000002</v>
      </c>
      <c r="G27" s="80" t="e">
        <f t="shared" si="3"/>
        <v>#DIV/0!</v>
      </c>
    </row>
    <row r="28" spans="1:7" s="50" customFormat="1" ht="40.5" customHeight="1">
      <c r="A28" s="46" t="s">
        <v>273</v>
      </c>
      <c r="B28" s="103"/>
      <c r="C28" s="15"/>
      <c r="D28" s="15"/>
      <c r="E28" s="15">
        <v>2</v>
      </c>
      <c r="F28" s="14">
        <f t="shared" si="2"/>
        <v>2</v>
      </c>
      <c r="G28" s="80" t="e">
        <f t="shared" si="3"/>
        <v>#DIV/0!</v>
      </c>
    </row>
    <row r="29" spans="1:7" s="50" customFormat="1" ht="23.25" customHeight="1">
      <c r="A29" s="46" t="s">
        <v>274</v>
      </c>
      <c r="B29" s="103"/>
      <c r="C29" s="15"/>
      <c r="D29" s="15"/>
      <c r="E29" s="15">
        <v>1</v>
      </c>
      <c r="F29" s="14">
        <f t="shared" si="2"/>
        <v>1</v>
      </c>
      <c r="G29" s="80" t="e">
        <f t="shared" si="3"/>
        <v>#DIV/0!</v>
      </c>
    </row>
    <row r="30" spans="1:7" s="50" customFormat="1" ht="29.25" customHeight="1">
      <c r="A30" s="46" t="s">
        <v>275</v>
      </c>
      <c r="B30" s="103"/>
      <c r="C30" s="15"/>
      <c r="D30" s="15"/>
      <c r="E30" s="15">
        <v>0.6</v>
      </c>
      <c r="F30" s="14">
        <f t="shared" si="2"/>
        <v>0.6</v>
      </c>
      <c r="G30" s="80" t="e">
        <f t="shared" si="3"/>
        <v>#DIV/0!</v>
      </c>
    </row>
    <row r="31" spans="1:7" s="50" customFormat="1" ht="24.75" customHeight="1">
      <c r="A31" s="46" t="s">
        <v>276</v>
      </c>
      <c r="B31" s="103"/>
      <c r="C31" s="15"/>
      <c r="D31" s="15"/>
      <c r="E31" s="15">
        <v>5</v>
      </c>
      <c r="F31" s="14">
        <f t="shared" si="2"/>
        <v>5</v>
      </c>
      <c r="G31" s="80" t="e">
        <f t="shared" si="3"/>
        <v>#DIV/0!</v>
      </c>
    </row>
    <row r="32" spans="1:7" s="50" customFormat="1" ht="27.75" customHeight="1">
      <c r="A32" s="46" t="s">
        <v>277</v>
      </c>
      <c r="B32" s="103"/>
      <c r="C32" s="15"/>
      <c r="D32" s="15"/>
      <c r="E32" s="15">
        <v>5.5</v>
      </c>
      <c r="F32" s="14">
        <f t="shared" si="2"/>
        <v>5.5</v>
      </c>
      <c r="G32" s="80" t="e">
        <f t="shared" si="3"/>
        <v>#DIV/0!</v>
      </c>
    </row>
    <row r="33" spans="1:11" s="50" customFormat="1" ht="28.5" customHeight="1">
      <c r="A33" s="46" t="s">
        <v>278</v>
      </c>
      <c r="B33" s="103"/>
      <c r="C33" s="15"/>
      <c r="D33" s="15"/>
      <c r="E33" s="15">
        <v>5.7</v>
      </c>
      <c r="F33" s="14">
        <f t="shared" si="2"/>
        <v>5.7</v>
      </c>
      <c r="G33" s="80" t="e">
        <f t="shared" si="3"/>
        <v>#DIV/0!</v>
      </c>
    </row>
    <row r="34" spans="1:11" s="50" customFormat="1" ht="27.75" customHeight="1">
      <c r="A34" s="46" t="s">
        <v>279</v>
      </c>
      <c r="B34" s="103"/>
      <c r="C34" s="15"/>
      <c r="D34" s="15"/>
      <c r="E34" s="15">
        <v>2.5</v>
      </c>
      <c r="F34" s="14">
        <f t="shared" si="2"/>
        <v>2.5</v>
      </c>
      <c r="G34" s="80" t="e">
        <f t="shared" si="3"/>
        <v>#DIV/0!</v>
      </c>
    </row>
    <row r="35" spans="1:11" s="50" customFormat="1" ht="41.25" customHeight="1">
      <c r="A35" s="46" t="s">
        <v>280</v>
      </c>
      <c r="B35" s="103"/>
      <c r="C35" s="15"/>
      <c r="D35" s="15"/>
      <c r="E35" s="15">
        <v>0.9</v>
      </c>
      <c r="F35" s="14">
        <f t="shared" si="2"/>
        <v>0.9</v>
      </c>
      <c r="G35" s="80" t="e">
        <f t="shared" si="3"/>
        <v>#DIV/0!</v>
      </c>
    </row>
    <row r="36" spans="1:11" s="50" customFormat="1" ht="26.25" customHeight="1">
      <c r="A36" s="46" t="s">
        <v>281</v>
      </c>
      <c r="B36" s="103"/>
      <c r="C36" s="15"/>
      <c r="D36" s="15"/>
      <c r="E36" s="15">
        <v>1.3</v>
      </c>
      <c r="F36" s="14">
        <f t="shared" si="2"/>
        <v>1.3</v>
      </c>
      <c r="G36" s="80" t="e">
        <f t="shared" si="3"/>
        <v>#DIV/0!</v>
      </c>
    </row>
    <row r="37" spans="1:11" s="50" customFormat="1" ht="31.5" customHeight="1">
      <c r="A37" s="46" t="s">
        <v>282</v>
      </c>
      <c r="B37" s="103"/>
      <c r="C37" s="15"/>
      <c r="D37" s="15"/>
      <c r="E37" s="15">
        <v>0.5</v>
      </c>
      <c r="F37" s="14">
        <f t="shared" si="2"/>
        <v>0.5</v>
      </c>
      <c r="G37" s="80" t="e">
        <f t="shared" si="3"/>
        <v>#DIV/0!</v>
      </c>
    </row>
    <row r="38" spans="1:11" s="50" customFormat="1" ht="30" customHeight="1">
      <c r="A38" s="46" t="s">
        <v>283</v>
      </c>
      <c r="B38" s="103"/>
      <c r="C38" s="15"/>
      <c r="D38" s="15"/>
      <c r="E38" s="15">
        <v>1.8</v>
      </c>
      <c r="F38" s="14">
        <f t="shared" si="2"/>
        <v>1.8</v>
      </c>
      <c r="G38" s="80" t="e">
        <f t="shared" si="3"/>
        <v>#DIV/0!</v>
      </c>
    </row>
    <row r="39" spans="1:11" s="50" customFormat="1" ht="30" customHeight="1">
      <c r="A39" s="46" t="s">
        <v>284</v>
      </c>
      <c r="B39" s="103"/>
      <c r="C39" s="15"/>
      <c r="D39" s="15"/>
      <c r="E39" s="15">
        <v>7.2</v>
      </c>
      <c r="F39" s="14">
        <f t="shared" si="2"/>
        <v>7.2</v>
      </c>
      <c r="G39" s="80" t="e">
        <f t="shared" si="3"/>
        <v>#DIV/0!</v>
      </c>
    </row>
    <row r="40" spans="1:11" s="50" customFormat="1" ht="30" customHeight="1">
      <c r="A40" s="46" t="s">
        <v>285</v>
      </c>
      <c r="B40" s="103"/>
      <c r="C40" s="15"/>
      <c r="D40" s="15"/>
      <c r="E40" s="15">
        <v>16.5</v>
      </c>
      <c r="F40" s="14">
        <f t="shared" si="2"/>
        <v>16.5</v>
      </c>
      <c r="G40" s="80" t="e">
        <f t="shared" si="3"/>
        <v>#DIV/0!</v>
      </c>
    </row>
    <row r="41" spans="1:11" s="50" customFormat="1" ht="30" customHeight="1">
      <c r="A41" s="46" t="s">
        <v>286</v>
      </c>
      <c r="B41" s="103"/>
      <c r="C41" s="15"/>
      <c r="D41" s="15"/>
      <c r="E41" s="15">
        <v>18.899999999999999</v>
      </c>
      <c r="F41" s="14">
        <f t="shared" si="2"/>
        <v>18.899999999999999</v>
      </c>
      <c r="G41" s="80" t="e">
        <f t="shared" si="3"/>
        <v>#DIV/0!</v>
      </c>
    </row>
    <row r="42" spans="1:11" s="50" customFormat="1" ht="30" customHeight="1">
      <c r="A42" s="46" t="s">
        <v>287</v>
      </c>
      <c r="B42" s="103"/>
      <c r="C42" s="15"/>
      <c r="D42" s="15"/>
      <c r="E42" s="15">
        <v>29.8</v>
      </c>
      <c r="F42" s="14">
        <f t="shared" si="2"/>
        <v>29.8</v>
      </c>
      <c r="G42" s="80" t="e">
        <f t="shared" si="3"/>
        <v>#DIV/0!</v>
      </c>
    </row>
    <row r="43" spans="1:11" s="50" customFormat="1" ht="30" customHeight="1">
      <c r="A43" s="46" t="s">
        <v>288</v>
      </c>
      <c r="B43" s="103"/>
      <c r="C43" s="15"/>
      <c r="D43" s="15"/>
      <c r="E43" s="15">
        <v>26.7</v>
      </c>
      <c r="F43" s="14">
        <f t="shared" si="2"/>
        <v>26.7</v>
      </c>
      <c r="G43" s="80" t="e">
        <f t="shared" si="3"/>
        <v>#DIV/0!</v>
      </c>
      <c r="K43" s="105"/>
    </row>
    <row r="44" spans="1:11" s="50" customFormat="1" ht="30" customHeight="1">
      <c r="A44" s="46" t="s">
        <v>289</v>
      </c>
      <c r="B44" s="103"/>
      <c r="C44" s="15"/>
      <c r="D44" s="15"/>
      <c r="E44" s="15">
        <v>4.5999999999999996</v>
      </c>
      <c r="F44" s="14">
        <f t="shared" si="2"/>
        <v>4.5999999999999996</v>
      </c>
      <c r="G44" s="80" t="e">
        <f t="shared" si="3"/>
        <v>#DIV/0!</v>
      </c>
    </row>
    <row r="45" spans="1:11" s="50" customFormat="1" ht="30" customHeight="1">
      <c r="A45" s="46" t="s">
        <v>290</v>
      </c>
      <c r="B45" s="103"/>
      <c r="C45" s="15"/>
      <c r="D45" s="15"/>
      <c r="E45" s="15">
        <v>8.9</v>
      </c>
      <c r="F45" s="14">
        <f t="shared" si="2"/>
        <v>8.9</v>
      </c>
      <c r="G45" s="80" t="e">
        <f t="shared" si="3"/>
        <v>#DIV/0!</v>
      </c>
    </row>
    <row r="46" spans="1:11" s="50" customFormat="1" ht="30" customHeight="1">
      <c r="A46" s="46" t="s">
        <v>291</v>
      </c>
      <c r="B46" s="103"/>
      <c r="C46" s="15"/>
      <c r="D46" s="15"/>
      <c r="E46" s="15">
        <v>10</v>
      </c>
      <c r="F46" s="14">
        <f t="shared" si="2"/>
        <v>10</v>
      </c>
      <c r="G46" s="80" t="e">
        <f t="shared" si="3"/>
        <v>#DIV/0!</v>
      </c>
    </row>
    <row r="47" spans="1:11" s="50" customFormat="1" ht="30" customHeight="1">
      <c r="A47" s="46" t="s">
        <v>292</v>
      </c>
      <c r="B47" s="103"/>
      <c r="C47" s="15"/>
      <c r="D47" s="15"/>
      <c r="E47" s="15">
        <v>0.2</v>
      </c>
      <c r="F47" s="14">
        <f t="shared" si="2"/>
        <v>0.2</v>
      </c>
      <c r="G47" s="80" t="e">
        <f t="shared" si="3"/>
        <v>#DIV/0!</v>
      </c>
    </row>
    <row r="48" spans="1:11" s="50" customFormat="1" ht="22.5" customHeight="1">
      <c r="A48" s="46" t="s">
        <v>293</v>
      </c>
      <c r="B48" s="103"/>
      <c r="C48" s="15"/>
      <c r="D48" s="15"/>
      <c r="E48" s="15">
        <v>1</v>
      </c>
      <c r="F48" s="14">
        <f t="shared" si="2"/>
        <v>1</v>
      </c>
      <c r="G48" s="80" t="e">
        <f t="shared" si="3"/>
        <v>#DIV/0!</v>
      </c>
    </row>
    <row r="49" spans="1:7" s="50" customFormat="1" ht="22.5" customHeight="1">
      <c r="A49" s="99" t="s">
        <v>397</v>
      </c>
      <c r="B49" s="103"/>
      <c r="C49" s="15"/>
      <c r="D49" s="15"/>
      <c r="E49" s="15">
        <v>31.9</v>
      </c>
      <c r="F49" s="14">
        <f t="shared" si="2"/>
        <v>31.9</v>
      </c>
      <c r="G49" s="80" t="e">
        <f t="shared" si="3"/>
        <v>#DIV/0!</v>
      </c>
    </row>
    <row r="50" spans="1:7" s="50" customFormat="1" ht="24.75" customHeight="1">
      <c r="A50" s="99" t="s">
        <v>396</v>
      </c>
      <c r="B50" s="103"/>
      <c r="C50" s="15"/>
      <c r="D50" s="15"/>
      <c r="E50" s="15">
        <v>2.1</v>
      </c>
      <c r="F50" s="14">
        <f t="shared" si="2"/>
        <v>2.1</v>
      </c>
      <c r="G50" s="80" t="e">
        <f t="shared" si="3"/>
        <v>#DIV/0!</v>
      </c>
    </row>
    <row r="51" spans="1:7" s="50" customFormat="1" ht="38.25" customHeight="1">
      <c r="A51" s="101" t="s">
        <v>398</v>
      </c>
      <c r="B51" s="103"/>
      <c r="C51" s="15"/>
      <c r="D51" s="15"/>
      <c r="E51" s="15">
        <v>31.5</v>
      </c>
      <c r="F51" s="14">
        <f t="shared" si="2"/>
        <v>31.5</v>
      </c>
      <c r="G51" s="80" t="e">
        <f t="shared" si="3"/>
        <v>#DIV/0!</v>
      </c>
    </row>
    <row r="52" spans="1:7" s="50" customFormat="1" ht="38.25" customHeight="1">
      <c r="A52" s="101" t="s">
        <v>399</v>
      </c>
      <c r="B52" s="103"/>
      <c r="C52" s="15"/>
      <c r="D52" s="15"/>
      <c r="E52" s="15">
        <v>32.4</v>
      </c>
      <c r="F52" s="14">
        <f t="shared" si="2"/>
        <v>32.4</v>
      </c>
      <c r="G52" s="80" t="e">
        <f t="shared" si="3"/>
        <v>#DIV/0!</v>
      </c>
    </row>
    <row r="53" spans="1:7" s="50" customFormat="1" ht="25.5" customHeight="1">
      <c r="A53" s="99" t="s">
        <v>400</v>
      </c>
      <c r="B53" s="103"/>
      <c r="C53" s="15"/>
      <c r="D53" s="15"/>
      <c r="E53" s="15">
        <v>41</v>
      </c>
      <c r="F53" s="14">
        <f t="shared" si="2"/>
        <v>41</v>
      </c>
      <c r="G53" s="80" t="e">
        <f t="shared" si="3"/>
        <v>#DIV/0!</v>
      </c>
    </row>
    <row r="54" spans="1:7" s="50" customFormat="1" ht="21.75" customHeight="1">
      <c r="A54" s="99" t="s">
        <v>401</v>
      </c>
      <c r="B54" s="103"/>
      <c r="C54" s="15"/>
      <c r="D54" s="15"/>
      <c r="E54" s="15">
        <v>4.0999999999999996</v>
      </c>
      <c r="F54" s="14">
        <f t="shared" si="2"/>
        <v>4.0999999999999996</v>
      </c>
      <c r="G54" s="80" t="e">
        <f t="shared" si="3"/>
        <v>#DIV/0!</v>
      </c>
    </row>
    <row r="55" spans="1:7" s="50" customFormat="1" ht="39.75" customHeight="1">
      <c r="A55" s="101" t="s">
        <v>402</v>
      </c>
      <c r="B55" s="103"/>
      <c r="C55" s="15"/>
      <c r="D55" s="15"/>
      <c r="E55" s="15">
        <v>27.3</v>
      </c>
      <c r="F55" s="14">
        <f t="shared" si="2"/>
        <v>27.3</v>
      </c>
      <c r="G55" s="80" t="e">
        <f t="shared" si="3"/>
        <v>#DIV/0!</v>
      </c>
    </row>
    <row r="56" spans="1:7" s="50" customFormat="1" ht="30" customHeight="1">
      <c r="A56" s="101" t="s">
        <v>403</v>
      </c>
      <c r="B56" s="103"/>
      <c r="C56" s="15"/>
      <c r="D56" s="15"/>
      <c r="E56" s="15">
        <v>24.1</v>
      </c>
      <c r="F56" s="14">
        <f t="shared" si="2"/>
        <v>24.1</v>
      </c>
      <c r="G56" s="80" t="e">
        <f t="shared" si="3"/>
        <v>#DIV/0!</v>
      </c>
    </row>
    <row r="57" spans="1:7" s="50" customFormat="1" ht="30" customHeight="1">
      <c r="A57" s="101" t="s">
        <v>404</v>
      </c>
      <c r="B57" s="103"/>
      <c r="C57" s="15"/>
      <c r="D57" s="15"/>
      <c r="E57" s="15">
        <v>7.7</v>
      </c>
      <c r="F57" s="14">
        <f t="shared" si="2"/>
        <v>7.7</v>
      </c>
      <c r="G57" s="80" t="e">
        <f t="shared" si="3"/>
        <v>#DIV/0!</v>
      </c>
    </row>
    <row r="58" spans="1:7" s="50" customFormat="1" ht="30" customHeight="1">
      <c r="A58" s="101" t="s">
        <v>405</v>
      </c>
      <c r="B58" s="103"/>
      <c r="C58" s="15"/>
      <c r="D58" s="15"/>
      <c r="E58" s="15">
        <v>5.5</v>
      </c>
      <c r="F58" s="14">
        <f t="shared" si="2"/>
        <v>5.5</v>
      </c>
      <c r="G58" s="80" t="e">
        <f t="shared" si="3"/>
        <v>#DIV/0!</v>
      </c>
    </row>
    <row r="59" spans="1:7" s="50" customFormat="1" ht="30" customHeight="1">
      <c r="A59" s="99" t="s">
        <v>406</v>
      </c>
      <c r="B59" s="103"/>
      <c r="C59" s="15"/>
      <c r="D59" s="15"/>
      <c r="E59" s="15">
        <v>4.0999999999999996</v>
      </c>
      <c r="F59" s="14">
        <f t="shared" si="2"/>
        <v>4.0999999999999996</v>
      </c>
      <c r="G59" s="80" t="e">
        <f t="shared" si="3"/>
        <v>#DIV/0!</v>
      </c>
    </row>
    <row r="60" spans="1:7" s="50" customFormat="1" ht="30" customHeight="1">
      <c r="A60" s="99" t="s">
        <v>407</v>
      </c>
      <c r="B60" s="103"/>
      <c r="C60" s="15"/>
      <c r="D60" s="15"/>
      <c r="E60" s="15">
        <v>1</v>
      </c>
      <c r="F60" s="14">
        <f t="shared" si="2"/>
        <v>1</v>
      </c>
      <c r="G60" s="80" t="e">
        <f t="shared" si="3"/>
        <v>#DIV/0!</v>
      </c>
    </row>
    <row r="61" spans="1:7" s="50" customFormat="1" ht="30" customHeight="1">
      <c r="A61" s="99" t="s">
        <v>408</v>
      </c>
      <c r="B61" s="103"/>
      <c r="C61" s="15"/>
      <c r="D61" s="15"/>
      <c r="E61" s="15">
        <v>25</v>
      </c>
      <c r="F61" s="14">
        <f t="shared" si="2"/>
        <v>25</v>
      </c>
      <c r="G61" s="80" t="e">
        <f t="shared" si="3"/>
        <v>#DIV/0!</v>
      </c>
    </row>
    <row r="62" spans="1:7" s="50" customFormat="1" ht="30" customHeight="1">
      <c r="A62" s="99" t="s">
        <v>411</v>
      </c>
      <c r="B62" s="103"/>
      <c r="C62" s="15"/>
      <c r="D62" s="15"/>
      <c r="E62" s="15">
        <v>0.5</v>
      </c>
      <c r="F62" s="14">
        <f t="shared" si="2"/>
        <v>0.5</v>
      </c>
      <c r="G62" s="80" t="e">
        <f t="shared" si="3"/>
        <v>#DIV/0!</v>
      </c>
    </row>
    <row r="63" spans="1:7" s="50" customFormat="1" ht="39.75" customHeight="1">
      <c r="A63" s="101" t="s">
        <v>409</v>
      </c>
      <c r="B63" s="103"/>
      <c r="C63" s="15"/>
      <c r="D63" s="15"/>
      <c r="E63" s="15">
        <v>48</v>
      </c>
      <c r="F63" s="14">
        <f t="shared" si="2"/>
        <v>48</v>
      </c>
      <c r="G63" s="80" t="e">
        <f t="shared" si="3"/>
        <v>#DIV/0!</v>
      </c>
    </row>
    <row r="64" spans="1:7" s="50" customFormat="1" ht="23.25" customHeight="1">
      <c r="A64" s="99" t="s">
        <v>410</v>
      </c>
      <c r="B64" s="103"/>
      <c r="C64" s="15"/>
      <c r="D64" s="15"/>
      <c r="E64" s="15">
        <v>13.3</v>
      </c>
      <c r="F64" s="14">
        <f t="shared" si="2"/>
        <v>13.3</v>
      </c>
      <c r="G64" s="80" t="e">
        <f t="shared" si="3"/>
        <v>#DIV/0!</v>
      </c>
    </row>
    <row r="65" spans="1:8" ht="27" customHeight="1">
      <c r="A65" s="104" t="s">
        <v>221</v>
      </c>
      <c r="B65" s="45"/>
      <c r="C65" s="15">
        <v>22</v>
      </c>
      <c r="D65" s="15"/>
      <c r="E65" s="15"/>
      <c r="F65" s="14">
        <f t="shared" si="2"/>
        <v>0</v>
      </c>
      <c r="G65" s="79" t="e">
        <f t="shared" si="3"/>
        <v>#DIV/0!</v>
      </c>
    </row>
    <row r="66" spans="1:8" ht="22.5" customHeight="1">
      <c r="A66" s="137" t="s">
        <v>382</v>
      </c>
      <c r="B66" s="45"/>
      <c r="C66" s="15">
        <v>14.6</v>
      </c>
      <c r="D66" s="15"/>
      <c r="E66" s="15"/>
      <c r="F66" s="14">
        <f t="shared" si="2"/>
        <v>0</v>
      </c>
      <c r="G66" s="79" t="e">
        <f t="shared" si="3"/>
        <v>#DIV/0!</v>
      </c>
    </row>
    <row r="67" spans="1:8" ht="24.75" customHeight="1">
      <c r="A67" s="137" t="s">
        <v>383</v>
      </c>
      <c r="B67" s="45"/>
      <c r="C67" s="15">
        <v>34</v>
      </c>
      <c r="D67" s="15"/>
      <c r="E67" s="15"/>
      <c r="F67" s="14">
        <f t="shared" si="2"/>
        <v>0</v>
      </c>
      <c r="G67" s="79" t="e">
        <f t="shared" si="3"/>
        <v>#DIV/0!</v>
      </c>
    </row>
    <row r="68" spans="1:8" ht="35.25" customHeight="1">
      <c r="A68" s="134" t="s">
        <v>384</v>
      </c>
      <c r="B68" s="45"/>
      <c r="C68" s="15">
        <v>2.8</v>
      </c>
      <c r="D68" s="15"/>
      <c r="E68" s="15"/>
      <c r="F68" s="14">
        <f t="shared" si="2"/>
        <v>0</v>
      </c>
      <c r="G68" s="79" t="e">
        <f t="shared" si="3"/>
        <v>#DIV/0!</v>
      </c>
    </row>
    <row r="69" spans="1:8" ht="34.5" customHeight="1">
      <c r="A69" s="134" t="s">
        <v>385</v>
      </c>
      <c r="B69" s="45"/>
      <c r="C69" s="15">
        <v>15.3</v>
      </c>
      <c r="D69" s="15"/>
      <c r="E69" s="15"/>
      <c r="F69" s="14">
        <f t="shared" si="2"/>
        <v>0</v>
      </c>
      <c r="G69" s="79" t="e">
        <f t="shared" si="3"/>
        <v>#DIV/0!</v>
      </c>
    </row>
    <row r="70" spans="1:8" ht="27" customHeight="1">
      <c r="A70" s="135" t="s">
        <v>386</v>
      </c>
      <c r="B70" s="45"/>
      <c r="C70" s="15">
        <v>2.7</v>
      </c>
      <c r="D70" s="15"/>
      <c r="E70" s="15"/>
      <c r="F70" s="14">
        <f t="shared" si="2"/>
        <v>0</v>
      </c>
      <c r="G70" s="79" t="e">
        <f t="shared" si="3"/>
        <v>#DIV/0!</v>
      </c>
    </row>
    <row r="71" spans="1:8" ht="33.75" customHeight="1">
      <c r="A71" s="135" t="s">
        <v>387</v>
      </c>
      <c r="B71" s="45"/>
      <c r="C71" s="15">
        <v>14.2</v>
      </c>
      <c r="D71" s="15"/>
      <c r="E71" s="15"/>
      <c r="F71" s="14">
        <f t="shared" ref="F71:F75" si="4">E71-D71</f>
        <v>0</v>
      </c>
      <c r="G71" s="79" t="e">
        <f t="shared" ref="G71:G75" si="5">(E71/D71)*100</f>
        <v>#DIV/0!</v>
      </c>
    </row>
    <row r="72" spans="1:8" ht="27" customHeight="1">
      <c r="A72" s="135" t="s">
        <v>388</v>
      </c>
      <c r="B72" s="45"/>
      <c r="C72" s="15">
        <v>19.600000000000001</v>
      </c>
      <c r="D72" s="15"/>
      <c r="E72" s="15"/>
      <c r="F72" s="14">
        <f t="shared" si="4"/>
        <v>0</v>
      </c>
      <c r="G72" s="79" t="e">
        <f t="shared" si="5"/>
        <v>#DIV/0!</v>
      </c>
    </row>
    <row r="73" spans="1:8" ht="27" customHeight="1">
      <c r="A73" s="135" t="s">
        <v>389</v>
      </c>
      <c r="B73" s="45"/>
      <c r="C73" s="15">
        <v>19.899999999999999</v>
      </c>
      <c r="D73" s="15"/>
      <c r="E73" s="15"/>
      <c r="F73" s="14">
        <f t="shared" si="4"/>
        <v>0</v>
      </c>
      <c r="G73" s="79" t="e">
        <f t="shared" si="5"/>
        <v>#DIV/0!</v>
      </c>
    </row>
    <row r="74" spans="1:8" ht="27.75" customHeight="1">
      <c r="A74" s="69" t="s">
        <v>39</v>
      </c>
      <c r="B74" s="51">
        <v>4060</v>
      </c>
      <c r="C74" s="41">
        <f>C75</f>
        <v>304.89999999999998</v>
      </c>
      <c r="D74" s="41">
        <f>D75</f>
        <v>0</v>
      </c>
      <c r="E74" s="41">
        <f>E75</f>
        <v>244</v>
      </c>
      <c r="F74" s="41">
        <f t="shared" si="4"/>
        <v>244</v>
      </c>
      <c r="G74" s="80" t="e">
        <f t="shared" si="5"/>
        <v>#DIV/0!</v>
      </c>
    </row>
    <row r="75" spans="1:8" ht="83.25" customHeight="1">
      <c r="A75" s="46" t="s">
        <v>294</v>
      </c>
      <c r="B75" s="45"/>
      <c r="C75" s="15">
        <v>304.89999999999998</v>
      </c>
      <c r="D75" s="15"/>
      <c r="E75" s="15">
        <v>244</v>
      </c>
      <c r="F75" s="14">
        <f t="shared" si="4"/>
        <v>244</v>
      </c>
      <c r="G75" s="79" t="e">
        <f t="shared" si="5"/>
        <v>#DIV/0!</v>
      </c>
    </row>
    <row r="76" spans="1:8" ht="27" customHeight="1">
      <c r="A76" s="82"/>
      <c r="B76" s="52"/>
      <c r="C76" s="18"/>
      <c r="D76" s="18"/>
      <c r="E76" s="18"/>
      <c r="F76" s="147"/>
      <c r="G76" s="20"/>
    </row>
    <row r="77" spans="1:8" ht="26.25" customHeight="1">
      <c r="A77" s="68" t="s">
        <v>262</v>
      </c>
      <c r="B77" s="16"/>
      <c r="C77" s="236"/>
      <c r="D77" s="236"/>
      <c r="E77" s="228" t="s">
        <v>205</v>
      </c>
      <c r="F77" s="228"/>
      <c r="G77" s="228"/>
      <c r="H77" s="47"/>
    </row>
    <row r="78" spans="1:8">
      <c r="A78" s="81" t="s">
        <v>60</v>
      </c>
      <c r="B78" s="17"/>
      <c r="C78" s="232" t="s">
        <v>66</v>
      </c>
      <c r="D78" s="232"/>
      <c r="E78" s="82"/>
      <c r="F78" s="50" t="s">
        <v>17</v>
      </c>
    </row>
    <row r="79" spans="1:8">
      <c r="A79" s="48"/>
      <c r="C79" s="86"/>
      <c r="D79" s="49"/>
      <c r="E79" s="49"/>
      <c r="F79" s="148"/>
    </row>
    <row r="80" spans="1:8">
      <c r="A80" s="48"/>
      <c r="C80" s="86"/>
      <c r="D80" s="49"/>
      <c r="E80" s="49"/>
      <c r="F80" s="148"/>
    </row>
    <row r="81" spans="1:6">
      <c r="A81" s="48"/>
      <c r="C81" s="86"/>
      <c r="D81" s="49"/>
      <c r="E81" s="49"/>
      <c r="F81" s="148"/>
    </row>
    <row r="82" spans="1:6">
      <c r="A82" s="48"/>
      <c r="C82" s="86"/>
      <c r="D82" s="49"/>
      <c r="E82" s="49"/>
      <c r="F82" s="148"/>
    </row>
    <row r="83" spans="1:6">
      <c r="A83" s="48"/>
      <c r="C83" s="86"/>
      <c r="D83" s="49"/>
      <c r="E83" s="49"/>
      <c r="F83" s="148"/>
    </row>
    <row r="84" spans="1:6">
      <c r="A84" s="48"/>
      <c r="C84" s="86"/>
      <c r="D84" s="49"/>
      <c r="E84" s="49"/>
      <c r="F84" s="148"/>
    </row>
    <row r="85" spans="1:6">
      <c r="A85" s="48"/>
      <c r="C85" s="86"/>
      <c r="D85" s="49"/>
      <c r="E85" s="49"/>
      <c r="F85" s="148"/>
    </row>
    <row r="86" spans="1:6">
      <c r="A86" s="48"/>
      <c r="C86" s="86"/>
      <c r="D86" s="49"/>
      <c r="E86" s="49"/>
      <c r="F86" s="148"/>
    </row>
    <row r="87" spans="1:6">
      <c r="A87" s="48"/>
      <c r="C87" s="86"/>
      <c r="D87" s="49"/>
      <c r="E87" s="49"/>
      <c r="F87" s="148"/>
    </row>
    <row r="88" spans="1:6">
      <c r="A88" s="48"/>
      <c r="C88" s="86"/>
      <c r="D88" s="49"/>
      <c r="E88" s="49"/>
      <c r="F88" s="148"/>
    </row>
    <row r="89" spans="1:6">
      <c r="A89" s="48"/>
      <c r="C89" s="86"/>
      <c r="D89" s="49"/>
      <c r="E89" s="49"/>
      <c r="F89" s="148"/>
    </row>
    <row r="90" spans="1:6">
      <c r="A90" s="48"/>
      <c r="C90" s="86"/>
      <c r="D90" s="49"/>
      <c r="E90" s="49"/>
      <c r="F90" s="148"/>
    </row>
    <row r="91" spans="1:6">
      <c r="A91" s="48"/>
      <c r="C91" s="86"/>
      <c r="D91" s="49"/>
      <c r="E91" s="49"/>
      <c r="F91" s="148"/>
    </row>
    <row r="92" spans="1:6">
      <c r="A92" s="48"/>
      <c r="C92" s="86"/>
      <c r="D92" s="49"/>
      <c r="E92" s="49"/>
      <c r="F92" s="148"/>
    </row>
    <row r="93" spans="1:6">
      <c r="A93" s="48"/>
      <c r="C93" s="86"/>
      <c r="D93" s="49"/>
      <c r="E93" s="49"/>
      <c r="F93" s="148"/>
    </row>
    <row r="94" spans="1:6">
      <c r="A94" s="48"/>
      <c r="C94" s="86"/>
      <c r="D94" s="49"/>
      <c r="E94" s="49"/>
      <c r="F94" s="148"/>
    </row>
    <row r="95" spans="1:6">
      <c r="A95" s="48"/>
      <c r="C95" s="86"/>
      <c r="D95" s="49"/>
      <c r="E95" s="49"/>
      <c r="F95" s="148"/>
    </row>
    <row r="96" spans="1:6">
      <c r="A96" s="48"/>
      <c r="C96" s="86"/>
      <c r="D96" s="49"/>
      <c r="E96" s="49"/>
      <c r="F96" s="148"/>
    </row>
    <row r="97" spans="1:6">
      <c r="A97" s="48"/>
      <c r="C97" s="86"/>
      <c r="D97" s="49"/>
      <c r="E97" s="49"/>
      <c r="F97" s="148"/>
    </row>
    <row r="98" spans="1:6">
      <c r="A98" s="48"/>
      <c r="C98" s="86"/>
      <c r="D98" s="49"/>
      <c r="E98" s="49"/>
      <c r="F98" s="148"/>
    </row>
    <row r="99" spans="1:6">
      <c r="A99" s="48"/>
      <c r="C99" s="86"/>
      <c r="D99" s="49"/>
      <c r="E99" s="49"/>
      <c r="F99" s="148"/>
    </row>
    <row r="100" spans="1:6">
      <c r="A100" s="48"/>
      <c r="C100" s="86"/>
      <c r="D100" s="49"/>
      <c r="E100" s="49"/>
      <c r="F100" s="148"/>
    </row>
    <row r="101" spans="1:6">
      <c r="A101" s="48"/>
      <c r="C101" s="86"/>
      <c r="D101" s="49"/>
      <c r="E101" s="49"/>
      <c r="F101" s="148"/>
    </row>
    <row r="102" spans="1:6">
      <c r="A102" s="48"/>
      <c r="C102" s="86"/>
      <c r="D102" s="49"/>
      <c r="E102" s="49"/>
      <c r="F102" s="148"/>
    </row>
    <row r="103" spans="1:6">
      <c r="A103" s="48"/>
      <c r="C103" s="86"/>
      <c r="D103" s="49"/>
      <c r="E103" s="49"/>
      <c r="F103" s="148"/>
    </row>
    <row r="104" spans="1:6">
      <c r="A104" s="48"/>
      <c r="C104" s="86"/>
      <c r="D104" s="49"/>
      <c r="E104" s="49"/>
      <c r="F104" s="148"/>
    </row>
    <row r="105" spans="1:6">
      <c r="A105" s="48"/>
      <c r="C105" s="86"/>
      <c r="D105" s="49"/>
      <c r="E105" s="49"/>
      <c r="F105" s="148"/>
    </row>
    <row r="106" spans="1:6">
      <c r="A106" s="48"/>
      <c r="C106" s="86"/>
      <c r="D106" s="49"/>
      <c r="E106" s="49"/>
      <c r="F106" s="148"/>
    </row>
    <row r="107" spans="1:6">
      <c r="A107" s="48"/>
      <c r="C107" s="86"/>
      <c r="D107" s="49"/>
      <c r="E107" s="49"/>
      <c r="F107" s="148"/>
    </row>
    <row r="108" spans="1:6">
      <c r="A108" s="48"/>
      <c r="C108" s="86"/>
      <c r="D108" s="49"/>
      <c r="E108" s="49"/>
      <c r="F108" s="148"/>
    </row>
    <row r="109" spans="1:6">
      <c r="A109" s="48"/>
      <c r="C109" s="86"/>
      <c r="D109" s="49"/>
      <c r="E109" s="49"/>
      <c r="F109" s="148"/>
    </row>
    <row r="110" spans="1:6">
      <c r="A110" s="48"/>
      <c r="C110" s="86"/>
      <c r="D110" s="49"/>
      <c r="E110" s="49"/>
      <c r="F110" s="148"/>
    </row>
    <row r="111" spans="1:6">
      <c r="A111" s="48"/>
      <c r="C111" s="86"/>
      <c r="D111" s="49"/>
      <c r="E111" s="49"/>
      <c r="F111" s="148"/>
    </row>
    <row r="112" spans="1:6">
      <c r="A112" s="48"/>
      <c r="C112" s="86"/>
      <c r="D112" s="49"/>
      <c r="E112" s="49"/>
      <c r="F112" s="148"/>
    </row>
    <row r="113" spans="1:6">
      <c r="A113" s="48"/>
      <c r="C113" s="86"/>
      <c r="D113" s="49"/>
      <c r="E113" s="49"/>
      <c r="F113" s="148"/>
    </row>
    <row r="114" spans="1:6">
      <c r="A114" s="48"/>
      <c r="C114" s="86"/>
      <c r="D114" s="49"/>
      <c r="E114" s="49"/>
      <c r="F114" s="148"/>
    </row>
    <row r="115" spans="1:6">
      <c r="A115" s="48"/>
      <c r="C115" s="86"/>
      <c r="D115" s="49"/>
      <c r="E115" s="49"/>
      <c r="F115" s="148"/>
    </row>
    <row r="116" spans="1:6">
      <c r="A116" s="48"/>
      <c r="C116" s="86"/>
      <c r="D116" s="49"/>
      <c r="E116" s="49"/>
      <c r="F116" s="148"/>
    </row>
    <row r="117" spans="1:6">
      <c r="A117" s="48"/>
      <c r="C117" s="86"/>
      <c r="D117" s="49"/>
      <c r="E117" s="49"/>
      <c r="F117" s="148"/>
    </row>
    <row r="118" spans="1:6">
      <c r="A118" s="48"/>
      <c r="C118" s="86"/>
      <c r="D118" s="49"/>
      <c r="E118" s="49"/>
      <c r="F118" s="148"/>
    </row>
    <row r="119" spans="1:6">
      <c r="A119" s="48"/>
      <c r="C119" s="86"/>
      <c r="D119" s="49"/>
      <c r="E119" s="49"/>
      <c r="F119" s="148"/>
    </row>
    <row r="120" spans="1:6">
      <c r="A120" s="48"/>
      <c r="C120" s="86"/>
      <c r="D120" s="49"/>
      <c r="E120" s="49"/>
      <c r="F120" s="148"/>
    </row>
    <row r="121" spans="1:6">
      <c r="A121" s="48"/>
      <c r="C121" s="86"/>
      <c r="D121" s="49"/>
      <c r="E121" s="49"/>
      <c r="F121" s="148"/>
    </row>
    <row r="122" spans="1:6">
      <c r="A122" s="48"/>
      <c r="C122" s="86"/>
      <c r="D122" s="49"/>
      <c r="E122" s="49"/>
      <c r="F122" s="148"/>
    </row>
    <row r="123" spans="1:6">
      <c r="A123" s="48"/>
      <c r="C123" s="86"/>
      <c r="D123" s="49"/>
      <c r="E123" s="49"/>
      <c r="F123" s="148"/>
    </row>
    <row r="124" spans="1:6">
      <c r="A124" s="48"/>
      <c r="C124" s="86"/>
      <c r="D124" s="49"/>
      <c r="E124" s="49"/>
      <c r="F124" s="148"/>
    </row>
    <row r="125" spans="1:6">
      <c r="A125" s="48"/>
      <c r="C125" s="86"/>
      <c r="D125" s="49"/>
      <c r="E125" s="49"/>
      <c r="F125" s="148"/>
    </row>
    <row r="126" spans="1:6">
      <c r="A126" s="48"/>
      <c r="C126" s="86"/>
      <c r="D126" s="49"/>
      <c r="E126" s="49"/>
      <c r="F126" s="148"/>
    </row>
    <row r="127" spans="1:6">
      <c r="A127" s="48"/>
      <c r="C127" s="86"/>
      <c r="D127" s="49"/>
      <c r="E127" s="49"/>
      <c r="F127" s="148"/>
    </row>
    <row r="128" spans="1:6">
      <c r="A128" s="48"/>
      <c r="C128" s="86"/>
      <c r="D128" s="49"/>
      <c r="E128" s="49"/>
      <c r="F128" s="148"/>
    </row>
    <row r="129" spans="1:6">
      <c r="A129" s="48"/>
      <c r="C129" s="86"/>
      <c r="D129" s="49"/>
      <c r="E129" s="49"/>
      <c r="F129" s="148"/>
    </row>
    <row r="130" spans="1:6">
      <c r="A130" s="48"/>
      <c r="C130" s="86"/>
      <c r="D130" s="49"/>
      <c r="E130" s="49"/>
      <c r="F130" s="148"/>
    </row>
    <row r="131" spans="1:6">
      <c r="A131" s="48"/>
      <c r="C131" s="86"/>
      <c r="D131" s="49"/>
      <c r="E131" s="49"/>
      <c r="F131" s="148"/>
    </row>
    <row r="132" spans="1:6">
      <c r="A132" s="48"/>
      <c r="C132" s="86"/>
      <c r="D132" s="49"/>
      <c r="E132" s="49"/>
      <c r="F132" s="148"/>
    </row>
    <row r="133" spans="1:6">
      <c r="A133" s="48"/>
    </row>
    <row r="134" spans="1:6">
      <c r="A134" s="54"/>
    </row>
    <row r="135" spans="1:6">
      <c r="A135" s="54"/>
    </row>
    <row r="136" spans="1:6">
      <c r="A136" s="54"/>
    </row>
    <row r="137" spans="1:6">
      <c r="A137" s="54"/>
    </row>
    <row r="138" spans="1:6">
      <c r="A138" s="54"/>
    </row>
    <row r="139" spans="1:6">
      <c r="A139" s="54"/>
    </row>
    <row r="140" spans="1:6">
      <c r="A140" s="54"/>
    </row>
    <row r="141" spans="1:6">
      <c r="A141" s="54"/>
    </row>
    <row r="142" spans="1:6">
      <c r="A142" s="54"/>
    </row>
    <row r="143" spans="1:6">
      <c r="A143" s="54"/>
    </row>
    <row r="144" spans="1:6">
      <c r="A144" s="54"/>
    </row>
    <row r="145" spans="1:1">
      <c r="A145" s="54"/>
    </row>
    <row r="146" spans="1:1">
      <c r="A146" s="54"/>
    </row>
    <row r="147" spans="1:1">
      <c r="A147" s="54"/>
    </row>
    <row r="148" spans="1:1">
      <c r="A148" s="54"/>
    </row>
    <row r="149" spans="1:1">
      <c r="A149" s="54"/>
    </row>
    <row r="150" spans="1:1">
      <c r="A150" s="54"/>
    </row>
    <row r="151" spans="1:1">
      <c r="A151" s="54"/>
    </row>
    <row r="152" spans="1:1">
      <c r="A152" s="54"/>
    </row>
    <row r="153" spans="1:1">
      <c r="A153" s="54"/>
    </row>
    <row r="154" spans="1:1">
      <c r="A154" s="54"/>
    </row>
    <row r="155" spans="1:1">
      <c r="A155" s="54"/>
    </row>
    <row r="156" spans="1:1">
      <c r="A156" s="54"/>
    </row>
    <row r="157" spans="1:1">
      <c r="A157" s="54"/>
    </row>
    <row r="158" spans="1:1">
      <c r="A158" s="54"/>
    </row>
    <row r="159" spans="1:1">
      <c r="A159" s="54"/>
    </row>
    <row r="160" spans="1:1">
      <c r="A160" s="54"/>
    </row>
    <row r="161" spans="1:1">
      <c r="A161" s="54"/>
    </row>
    <row r="162" spans="1:1">
      <c r="A162" s="54"/>
    </row>
    <row r="163" spans="1:1">
      <c r="A163" s="54"/>
    </row>
    <row r="164" spans="1:1">
      <c r="A164" s="54"/>
    </row>
    <row r="165" spans="1:1">
      <c r="A165" s="54"/>
    </row>
    <row r="166" spans="1:1">
      <c r="A166" s="54"/>
    </row>
    <row r="167" spans="1:1">
      <c r="A167" s="54"/>
    </row>
    <row r="168" spans="1:1">
      <c r="A168" s="54"/>
    </row>
    <row r="169" spans="1:1">
      <c r="A169" s="54"/>
    </row>
    <row r="170" spans="1:1">
      <c r="A170" s="54"/>
    </row>
    <row r="171" spans="1:1">
      <c r="A171" s="54"/>
    </row>
    <row r="172" spans="1:1">
      <c r="A172" s="54"/>
    </row>
    <row r="173" spans="1:1">
      <c r="A173" s="54"/>
    </row>
    <row r="174" spans="1:1">
      <c r="A174" s="54"/>
    </row>
    <row r="175" spans="1:1">
      <c r="A175" s="54"/>
    </row>
    <row r="176" spans="1:1">
      <c r="A176" s="54"/>
    </row>
    <row r="177" spans="1:1">
      <c r="A177" s="54"/>
    </row>
    <row r="178" spans="1:1">
      <c r="A178" s="54"/>
    </row>
    <row r="179" spans="1:1">
      <c r="A179" s="54"/>
    </row>
    <row r="180" spans="1:1">
      <c r="A180" s="54"/>
    </row>
    <row r="181" spans="1:1">
      <c r="A181" s="54"/>
    </row>
    <row r="182" spans="1:1">
      <c r="A182" s="54"/>
    </row>
    <row r="183" spans="1:1">
      <c r="A183" s="54"/>
    </row>
    <row r="184" spans="1:1">
      <c r="A184" s="54"/>
    </row>
    <row r="185" spans="1:1">
      <c r="A185" s="54"/>
    </row>
    <row r="186" spans="1:1">
      <c r="A186" s="54"/>
    </row>
    <row r="187" spans="1:1">
      <c r="A187" s="54"/>
    </row>
    <row r="188" spans="1:1">
      <c r="A188" s="54"/>
    </row>
    <row r="189" spans="1:1">
      <c r="A189" s="54"/>
    </row>
    <row r="190" spans="1:1">
      <c r="A190" s="54"/>
    </row>
    <row r="191" spans="1:1">
      <c r="A191" s="54"/>
    </row>
    <row r="192" spans="1:1">
      <c r="A192" s="54"/>
    </row>
    <row r="193" spans="1:1">
      <c r="A193" s="54"/>
    </row>
    <row r="194" spans="1:1">
      <c r="A194" s="54"/>
    </row>
    <row r="195" spans="1:1">
      <c r="A195" s="54"/>
    </row>
    <row r="196" spans="1:1">
      <c r="A196" s="54"/>
    </row>
    <row r="197" spans="1:1">
      <c r="A197" s="54"/>
    </row>
    <row r="198" spans="1:1">
      <c r="A198" s="54"/>
    </row>
    <row r="199" spans="1:1">
      <c r="A199" s="54"/>
    </row>
    <row r="200" spans="1:1">
      <c r="A200" s="54"/>
    </row>
    <row r="201" spans="1:1">
      <c r="A201" s="54"/>
    </row>
    <row r="202" spans="1:1">
      <c r="A202" s="54"/>
    </row>
    <row r="203" spans="1:1">
      <c r="A203" s="54"/>
    </row>
    <row r="204" spans="1:1">
      <c r="A204" s="54"/>
    </row>
    <row r="205" spans="1:1">
      <c r="A205" s="54"/>
    </row>
    <row r="206" spans="1:1">
      <c r="A206" s="54"/>
    </row>
    <row r="207" spans="1:1">
      <c r="A207" s="54"/>
    </row>
    <row r="208" spans="1:1">
      <c r="A208" s="54"/>
    </row>
    <row r="209" spans="1:1">
      <c r="A209" s="54"/>
    </row>
    <row r="210" spans="1:1">
      <c r="A210" s="54"/>
    </row>
    <row r="211" spans="1:1">
      <c r="A211" s="54"/>
    </row>
    <row r="212" spans="1:1">
      <c r="A212" s="54"/>
    </row>
    <row r="213" spans="1:1">
      <c r="A213" s="54"/>
    </row>
    <row r="214" spans="1:1">
      <c r="A214" s="54"/>
    </row>
    <row r="215" spans="1:1">
      <c r="A215" s="54"/>
    </row>
    <row r="216" spans="1:1">
      <c r="A216" s="54"/>
    </row>
    <row r="217" spans="1:1">
      <c r="A217" s="54"/>
    </row>
    <row r="218" spans="1:1">
      <c r="A218" s="54"/>
    </row>
    <row r="219" spans="1:1">
      <c r="A219" s="54"/>
    </row>
    <row r="220" spans="1:1">
      <c r="A220" s="54"/>
    </row>
    <row r="221" spans="1:1">
      <c r="A221" s="54"/>
    </row>
    <row r="222" spans="1:1">
      <c r="A222" s="54"/>
    </row>
    <row r="223" spans="1:1">
      <c r="A223" s="54"/>
    </row>
    <row r="224" spans="1:1">
      <c r="A224" s="54"/>
    </row>
    <row r="225" spans="1:1">
      <c r="A225" s="54"/>
    </row>
    <row r="226" spans="1:1">
      <c r="A226" s="54"/>
    </row>
    <row r="227" spans="1:1">
      <c r="A227" s="54"/>
    </row>
    <row r="228" spans="1:1">
      <c r="A228" s="54"/>
    </row>
    <row r="229" spans="1:1">
      <c r="A229" s="54"/>
    </row>
    <row r="230" spans="1:1">
      <c r="A230" s="54"/>
    </row>
    <row r="231" spans="1:1">
      <c r="A231" s="54"/>
    </row>
    <row r="232" spans="1:1">
      <c r="A232" s="54"/>
    </row>
    <row r="233" spans="1:1">
      <c r="A233" s="54"/>
    </row>
    <row r="234" spans="1:1">
      <c r="A234" s="54"/>
    </row>
    <row r="235" spans="1:1">
      <c r="A235" s="54"/>
    </row>
    <row r="236" spans="1:1">
      <c r="A236" s="54"/>
    </row>
    <row r="237" spans="1:1">
      <c r="A237" s="54"/>
    </row>
    <row r="238" spans="1:1">
      <c r="A238" s="54"/>
    </row>
    <row r="239" spans="1:1">
      <c r="A239" s="54"/>
    </row>
    <row r="240" spans="1:1">
      <c r="A240" s="54"/>
    </row>
    <row r="241" spans="1:1">
      <c r="A241" s="54"/>
    </row>
    <row r="242" spans="1:1">
      <c r="A242" s="54"/>
    </row>
    <row r="243" spans="1:1">
      <c r="A243" s="54"/>
    </row>
    <row r="244" spans="1:1">
      <c r="A244" s="54"/>
    </row>
    <row r="245" spans="1:1">
      <c r="A245" s="54"/>
    </row>
    <row r="246" spans="1:1">
      <c r="A246" s="54"/>
    </row>
    <row r="247" spans="1:1">
      <c r="A247" s="54"/>
    </row>
    <row r="248" spans="1:1">
      <c r="A248" s="54"/>
    </row>
    <row r="249" spans="1:1">
      <c r="A249" s="54"/>
    </row>
    <row r="250" spans="1:1">
      <c r="A250" s="54"/>
    </row>
    <row r="251" spans="1:1">
      <c r="A251" s="54"/>
    </row>
    <row r="252" spans="1:1">
      <c r="A252" s="54"/>
    </row>
    <row r="253" spans="1:1">
      <c r="A253" s="54"/>
    </row>
    <row r="254" spans="1:1">
      <c r="A254" s="54"/>
    </row>
    <row r="255" spans="1:1">
      <c r="A255" s="54"/>
    </row>
    <row r="256" spans="1:1">
      <c r="A256" s="54"/>
    </row>
    <row r="257" spans="1:1">
      <c r="A257" s="54"/>
    </row>
    <row r="258" spans="1:1">
      <c r="A258" s="54"/>
    </row>
    <row r="259" spans="1:1">
      <c r="A259" s="54"/>
    </row>
    <row r="260" spans="1:1">
      <c r="A260" s="54"/>
    </row>
    <row r="261" spans="1:1">
      <c r="A261" s="54"/>
    </row>
    <row r="262" spans="1:1">
      <c r="A262" s="54"/>
    </row>
    <row r="263" spans="1:1">
      <c r="A263" s="54"/>
    </row>
    <row r="264" spans="1:1">
      <c r="A264" s="54"/>
    </row>
    <row r="265" spans="1:1">
      <c r="A265" s="54"/>
    </row>
    <row r="266" spans="1:1">
      <c r="A266" s="54"/>
    </row>
    <row r="267" spans="1:1">
      <c r="A267" s="54"/>
    </row>
    <row r="268" spans="1:1">
      <c r="A268" s="54"/>
    </row>
    <row r="269" spans="1:1">
      <c r="A269" s="54"/>
    </row>
    <row r="270" spans="1:1">
      <c r="A270" s="54"/>
    </row>
    <row r="271" spans="1:1">
      <c r="A271" s="54"/>
    </row>
    <row r="272" spans="1:1">
      <c r="A272" s="54"/>
    </row>
    <row r="273" spans="1:1">
      <c r="A273" s="54"/>
    </row>
    <row r="274" spans="1:1">
      <c r="A274" s="54"/>
    </row>
    <row r="275" spans="1:1">
      <c r="A275" s="54"/>
    </row>
    <row r="276" spans="1:1">
      <c r="A276" s="54"/>
    </row>
    <row r="277" spans="1:1">
      <c r="A277" s="54"/>
    </row>
    <row r="278" spans="1:1">
      <c r="A278" s="54"/>
    </row>
    <row r="279" spans="1:1">
      <c r="A279" s="54"/>
    </row>
    <row r="280" spans="1:1">
      <c r="A280" s="54"/>
    </row>
    <row r="281" spans="1:1">
      <c r="A281" s="54"/>
    </row>
    <row r="282" spans="1:1">
      <c r="A282" s="54"/>
    </row>
    <row r="283" spans="1:1">
      <c r="A283" s="54"/>
    </row>
    <row r="284" spans="1:1">
      <c r="A284" s="54"/>
    </row>
    <row r="285" spans="1:1">
      <c r="A285" s="54"/>
    </row>
    <row r="286" spans="1:1">
      <c r="A286" s="54"/>
    </row>
    <row r="287" spans="1:1">
      <c r="A287" s="54"/>
    </row>
    <row r="288" spans="1:1">
      <c r="A288" s="54"/>
    </row>
    <row r="289" spans="1:1">
      <c r="A289" s="54"/>
    </row>
    <row r="290" spans="1:1">
      <c r="A290" s="54"/>
    </row>
    <row r="291" spans="1:1">
      <c r="A291" s="54"/>
    </row>
    <row r="292" spans="1:1">
      <c r="A292" s="54"/>
    </row>
    <row r="293" spans="1:1">
      <c r="A293" s="54"/>
    </row>
    <row r="294" spans="1:1">
      <c r="A294" s="54"/>
    </row>
    <row r="295" spans="1:1">
      <c r="A295" s="54"/>
    </row>
    <row r="296" spans="1:1">
      <c r="A296" s="54"/>
    </row>
    <row r="297" spans="1:1">
      <c r="A297" s="54"/>
    </row>
    <row r="298" spans="1:1">
      <c r="A298" s="54"/>
    </row>
    <row r="299" spans="1:1">
      <c r="A299" s="54"/>
    </row>
    <row r="300" spans="1:1">
      <c r="A300" s="54"/>
    </row>
  </sheetData>
  <mergeCells count="4">
    <mergeCell ref="C77:D77"/>
    <mergeCell ref="C78:D78"/>
    <mergeCell ref="A1:F1"/>
    <mergeCell ref="E77:G77"/>
  </mergeCells>
  <pageMargins left="0.39370078740157483" right="0.39370078740157483" top="0.78740157480314965" bottom="0.39370078740157483" header="0.19685039370078741" footer="0.19685039370078741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P79"/>
  <sheetViews>
    <sheetView view="pageBreakPreview" topLeftCell="A40" zoomScale="60" zoomScaleNormal="60" workbookViewId="0">
      <selection activeCell="R59" sqref="R59"/>
    </sheetView>
  </sheetViews>
  <sheetFormatPr defaultRowHeight="20.25"/>
  <cols>
    <col min="1" max="1" width="9.85546875" style="13" customWidth="1"/>
    <col min="2" max="2" width="26.140625" style="13" customWidth="1"/>
    <col min="3" max="3" width="11.28515625" style="13" customWidth="1"/>
    <col min="4" max="4" width="15.28515625" style="13" customWidth="1"/>
    <col min="5" max="10" width="18.42578125" style="13" customWidth="1"/>
    <col min="11" max="11" width="18.7109375" style="13" customWidth="1"/>
    <col min="12" max="12" width="19" style="13" customWidth="1"/>
    <col min="13" max="14" width="18.42578125" style="13" customWidth="1"/>
    <col min="15" max="16" width="19.42578125" style="13" customWidth="1"/>
    <col min="17" max="16384" width="9.140625" style="13"/>
  </cols>
  <sheetData>
    <row r="1" spans="1:16">
      <c r="A1" s="21"/>
      <c r="B1" s="21"/>
      <c r="C1" s="21"/>
      <c r="D1" s="21"/>
      <c r="E1" s="21"/>
      <c r="F1" s="21"/>
      <c r="G1" s="21"/>
      <c r="H1" s="21"/>
      <c r="I1" s="22"/>
      <c r="J1" s="22"/>
      <c r="K1" s="23"/>
      <c r="L1" s="23"/>
      <c r="M1" s="23"/>
      <c r="N1" s="23"/>
      <c r="O1" s="23"/>
      <c r="P1" s="22"/>
    </row>
    <row r="2" spans="1:16" s="25" customFormat="1" ht="42.75" customHeight="1">
      <c r="A2" s="24"/>
      <c r="B2" s="24"/>
      <c r="C2" s="24"/>
      <c r="D2" s="250" t="s">
        <v>264</v>
      </c>
      <c r="E2" s="250"/>
      <c r="F2" s="250"/>
      <c r="G2" s="250"/>
      <c r="H2" s="250"/>
      <c r="I2" s="250"/>
      <c r="J2" s="250"/>
      <c r="K2" s="250"/>
      <c r="L2" s="250"/>
      <c r="M2" s="250"/>
      <c r="N2" s="24"/>
      <c r="O2" s="24"/>
      <c r="P2" s="24"/>
    </row>
    <row r="3" spans="1:16">
      <c r="A3" s="26"/>
      <c r="B3" s="26"/>
      <c r="C3" s="26"/>
      <c r="D3" s="26"/>
      <c r="E3" s="27"/>
      <c r="F3" s="27"/>
      <c r="G3" s="27"/>
      <c r="H3" s="27"/>
      <c r="I3" s="27"/>
      <c r="J3" s="27"/>
      <c r="K3" s="23"/>
      <c r="L3" s="23"/>
      <c r="M3" s="23"/>
      <c r="N3" s="23"/>
      <c r="O3" s="23"/>
      <c r="P3" s="22" t="s">
        <v>51</v>
      </c>
    </row>
    <row r="4" spans="1:16" ht="52.5" customHeight="1">
      <c r="A4" s="218" t="s">
        <v>8</v>
      </c>
      <c r="B4" s="218" t="s">
        <v>20</v>
      </c>
      <c r="C4" s="218"/>
      <c r="D4" s="218"/>
      <c r="E4" s="218" t="s">
        <v>133</v>
      </c>
      <c r="F4" s="218"/>
      <c r="G4" s="218" t="s">
        <v>134</v>
      </c>
      <c r="H4" s="218"/>
      <c r="I4" s="218" t="s">
        <v>135</v>
      </c>
      <c r="J4" s="218"/>
      <c r="K4" s="218" t="s">
        <v>350</v>
      </c>
      <c r="L4" s="218"/>
      <c r="M4" s="218" t="s">
        <v>136</v>
      </c>
      <c r="N4" s="218"/>
      <c r="O4" s="218"/>
      <c r="P4" s="218"/>
    </row>
    <row r="5" spans="1:16" ht="111" customHeight="1">
      <c r="A5" s="218"/>
      <c r="B5" s="218"/>
      <c r="C5" s="218"/>
      <c r="D5" s="218"/>
      <c r="E5" s="44" t="s">
        <v>357</v>
      </c>
      <c r="F5" s="44" t="s">
        <v>358</v>
      </c>
      <c r="G5" s="44" t="s">
        <v>357</v>
      </c>
      <c r="H5" s="44" t="s">
        <v>358</v>
      </c>
      <c r="I5" s="44" t="s">
        <v>357</v>
      </c>
      <c r="J5" s="44" t="s">
        <v>358</v>
      </c>
      <c r="K5" s="44" t="s">
        <v>357</v>
      </c>
      <c r="L5" s="44" t="s">
        <v>358</v>
      </c>
      <c r="M5" s="44" t="str">
        <f>E5</f>
        <v>план 
на І півріччя 2023 року</v>
      </c>
      <c r="N5" s="44" t="str">
        <f>F5</f>
        <v>факт 
за І півріччя 2023 року</v>
      </c>
      <c r="O5" s="8" t="s">
        <v>110</v>
      </c>
      <c r="P5" s="143" t="s">
        <v>113</v>
      </c>
    </row>
    <row r="6" spans="1:16" ht="30" customHeight="1">
      <c r="A6" s="8">
        <v>1</v>
      </c>
      <c r="B6" s="218">
        <v>2</v>
      </c>
      <c r="C6" s="218"/>
      <c r="D6" s="218"/>
      <c r="E6" s="8">
        <v>4</v>
      </c>
      <c r="F6" s="8">
        <v>5</v>
      </c>
      <c r="G6" s="8">
        <v>7</v>
      </c>
      <c r="H6" s="8">
        <v>8</v>
      </c>
      <c r="I6" s="8">
        <v>10</v>
      </c>
      <c r="J6" s="8">
        <v>11</v>
      </c>
      <c r="K6" s="6">
        <v>13</v>
      </c>
      <c r="L6" s="6">
        <v>14</v>
      </c>
      <c r="M6" s="6">
        <v>16</v>
      </c>
      <c r="N6" s="6">
        <v>17</v>
      </c>
      <c r="O6" s="6">
        <v>18</v>
      </c>
      <c r="P6" s="142">
        <v>19</v>
      </c>
    </row>
    <row r="7" spans="1:16" ht="48" customHeight="1">
      <c r="A7" s="109" t="s">
        <v>85</v>
      </c>
      <c r="B7" s="251" t="s">
        <v>96</v>
      </c>
      <c r="C7" s="252"/>
      <c r="D7" s="252"/>
      <c r="E7" s="14">
        <f t="shared" ref="E7:L7" si="0">SUM(E8:E17)</f>
        <v>0</v>
      </c>
      <c r="F7" s="14">
        <f t="shared" si="0"/>
        <v>0</v>
      </c>
      <c r="G7" s="14">
        <f t="shared" si="0"/>
        <v>0</v>
      </c>
      <c r="H7" s="14">
        <f t="shared" si="0"/>
        <v>191.8</v>
      </c>
      <c r="I7" s="14">
        <f t="shared" si="0"/>
        <v>0</v>
      </c>
      <c r="J7" s="14">
        <f t="shared" si="0"/>
        <v>0</v>
      </c>
      <c r="K7" s="14">
        <f t="shared" si="0"/>
        <v>0</v>
      </c>
      <c r="L7" s="14">
        <f t="shared" si="0"/>
        <v>1853</v>
      </c>
      <c r="M7" s="14">
        <f>E7+G7+I7+K7</f>
        <v>0</v>
      </c>
      <c r="N7" s="14">
        <f>F7+H7+J7+L7</f>
        <v>2044.8</v>
      </c>
      <c r="O7" s="14">
        <f>N7-M7</f>
        <v>2044.8</v>
      </c>
      <c r="P7" s="138" t="e">
        <f>(N7/M7)*100</f>
        <v>#DIV/0!</v>
      </c>
    </row>
    <row r="8" spans="1:16" ht="30" customHeight="1">
      <c r="A8" s="109"/>
      <c r="B8" s="253" t="s">
        <v>269</v>
      </c>
      <c r="C8" s="254"/>
      <c r="D8" s="255"/>
      <c r="E8" s="15"/>
      <c r="F8" s="15"/>
      <c r="G8" s="15"/>
      <c r="H8" s="15"/>
      <c r="I8" s="15"/>
      <c r="J8" s="15"/>
      <c r="K8" s="129"/>
      <c r="L8" s="129">
        <v>40</v>
      </c>
      <c r="M8" s="14">
        <f>E8+G8+I8+K8</f>
        <v>0</v>
      </c>
      <c r="N8" s="14">
        <f>F8+H8+J8+L8</f>
        <v>40</v>
      </c>
      <c r="O8" s="14">
        <f>N8-M8</f>
        <v>40</v>
      </c>
      <c r="P8" s="139" t="e">
        <f>(N8/M8)*100</f>
        <v>#DIV/0!</v>
      </c>
    </row>
    <row r="9" spans="1:16" ht="30" customHeight="1">
      <c r="A9" s="109"/>
      <c r="B9" s="106" t="s">
        <v>270</v>
      </c>
      <c r="C9" s="107"/>
      <c r="D9" s="108"/>
      <c r="E9" s="15"/>
      <c r="F9" s="15"/>
      <c r="G9" s="15"/>
      <c r="H9" s="15"/>
      <c r="I9" s="15"/>
      <c r="J9" s="15"/>
      <c r="K9" s="129"/>
      <c r="L9" s="129">
        <v>30.5</v>
      </c>
      <c r="M9" s="14"/>
      <c r="N9" s="14">
        <f t="shared" ref="N9:N17" si="1">F9+H9+J9+L9</f>
        <v>30.5</v>
      </c>
      <c r="O9" s="14">
        <f t="shared" ref="O9:O57" si="2">N9-M9</f>
        <v>30.5</v>
      </c>
      <c r="P9" s="139" t="e">
        <f t="shared" ref="P9:P57" si="3">(N9/M9)*100</f>
        <v>#DIV/0!</v>
      </c>
    </row>
    <row r="10" spans="1:16" ht="46.5" customHeight="1">
      <c r="A10" s="109"/>
      <c r="B10" s="247" t="s">
        <v>268</v>
      </c>
      <c r="C10" s="248"/>
      <c r="D10" s="249"/>
      <c r="E10" s="15"/>
      <c r="F10" s="15"/>
      <c r="G10" s="15"/>
      <c r="H10" s="15"/>
      <c r="I10" s="15"/>
      <c r="J10" s="15"/>
      <c r="K10" s="129"/>
      <c r="L10" s="129">
        <v>258.5</v>
      </c>
      <c r="M10" s="14"/>
      <c r="N10" s="14">
        <f t="shared" si="1"/>
        <v>258.5</v>
      </c>
      <c r="O10" s="14">
        <f t="shared" si="2"/>
        <v>258.5</v>
      </c>
      <c r="P10" s="139" t="e">
        <f t="shared" si="3"/>
        <v>#DIV/0!</v>
      </c>
    </row>
    <row r="11" spans="1:16" ht="30" customHeight="1">
      <c r="A11" s="109"/>
      <c r="B11" s="247" t="s">
        <v>349</v>
      </c>
      <c r="C11" s="248"/>
      <c r="D11" s="249"/>
      <c r="E11" s="15"/>
      <c r="F11" s="15"/>
      <c r="G11" s="15"/>
      <c r="H11" s="15"/>
      <c r="I11" s="15"/>
      <c r="J11" s="15"/>
      <c r="K11" s="129"/>
      <c r="L11" s="129">
        <v>42.1</v>
      </c>
      <c r="M11" s="14"/>
      <c r="N11" s="14">
        <f t="shared" si="1"/>
        <v>42.1</v>
      </c>
      <c r="O11" s="14">
        <f t="shared" si="2"/>
        <v>42.1</v>
      </c>
      <c r="P11" s="139" t="e">
        <f t="shared" si="3"/>
        <v>#DIV/0!</v>
      </c>
    </row>
    <row r="12" spans="1:16" ht="38.25" customHeight="1">
      <c r="A12" s="116"/>
      <c r="B12" s="247" t="s">
        <v>390</v>
      </c>
      <c r="C12" s="248"/>
      <c r="D12" s="249"/>
      <c r="E12" s="15"/>
      <c r="F12" s="15"/>
      <c r="G12" s="15"/>
      <c r="H12" s="15">
        <v>191.8</v>
      </c>
      <c r="I12" s="15"/>
      <c r="J12" s="15"/>
      <c r="K12" s="129"/>
      <c r="L12" s="129"/>
      <c r="M12" s="14"/>
      <c r="N12" s="14">
        <f t="shared" si="1"/>
        <v>191.8</v>
      </c>
      <c r="O12" s="14">
        <f t="shared" si="2"/>
        <v>191.8</v>
      </c>
      <c r="P12" s="139" t="e">
        <f t="shared" si="3"/>
        <v>#DIV/0!</v>
      </c>
    </row>
    <row r="13" spans="1:16" ht="30" customHeight="1">
      <c r="A13" s="116"/>
      <c r="B13" s="247" t="s">
        <v>391</v>
      </c>
      <c r="C13" s="248"/>
      <c r="D13" s="249"/>
      <c r="E13" s="15"/>
      <c r="F13" s="15"/>
      <c r="G13" s="15"/>
      <c r="H13" s="15"/>
      <c r="I13" s="15"/>
      <c r="J13" s="15"/>
      <c r="K13" s="129"/>
      <c r="L13" s="129">
        <v>240</v>
      </c>
      <c r="M13" s="14"/>
      <c r="N13" s="14">
        <f t="shared" si="1"/>
        <v>240</v>
      </c>
      <c r="O13" s="14">
        <f t="shared" si="2"/>
        <v>240</v>
      </c>
      <c r="P13" s="139" t="e">
        <f t="shared" si="3"/>
        <v>#DIV/0!</v>
      </c>
    </row>
    <row r="14" spans="1:16" ht="30" customHeight="1">
      <c r="A14" s="116"/>
      <c r="B14" s="247" t="s">
        <v>392</v>
      </c>
      <c r="C14" s="248"/>
      <c r="D14" s="249"/>
      <c r="E14" s="15"/>
      <c r="F14" s="15"/>
      <c r="G14" s="15"/>
      <c r="H14" s="15"/>
      <c r="I14" s="15"/>
      <c r="J14" s="15"/>
      <c r="K14" s="129"/>
      <c r="L14" s="129">
        <v>25.6</v>
      </c>
      <c r="M14" s="14"/>
      <c r="N14" s="14">
        <f t="shared" si="1"/>
        <v>25.6</v>
      </c>
      <c r="O14" s="14">
        <f t="shared" si="2"/>
        <v>25.6</v>
      </c>
      <c r="P14" s="139" t="e">
        <f t="shared" si="3"/>
        <v>#DIV/0!</v>
      </c>
    </row>
    <row r="15" spans="1:16" ht="46.5" customHeight="1">
      <c r="A15" s="116"/>
      <c r="B15" s="247" t="s">
        <v>395</v>
      </c>
      <c r="C15" s="248"/>
      <c r="D15" s="249"/>
      <c r="E15" s="15"/>
      <c r="F15" s="15"/>
      <c r="G15" s="15"/>
      <c r="H15" s="15"/>
      <c r="I15" s="15"/>
      <c r="J15" s="15"/>
      <c r="K15" s="129"/>
      <c r="L15" s="129">
        <v>385.2</v>
      </c>
      <c r="M15" s="14"/>
      <c r="N15" s="14">
        <f t="shared" si="1"/>
        <v>385.2</v>
      </c>
      <c r="O15" s="14">
        <f t="shared" si="2"/>
        <v>385.2</v>
      </c>
      <c r="P15" s="139" t="e">
        <f t="shared" si="3"/>
        <v>#DIV/0!</v>
      </c>
    </row>
    <row r="16" spans="1:16" ht="30" customHeight="1">
      <c r="A16" s="116"/>
      <c r="B16" s="247" t="s">
        <v>393</v>
      </c>
      <c r="C16" s="248"/>
      <c r="D16" s="249"/>
      <c r="E16" s="15"/>
      <c r="F16" s="15"/>
      <c r="G16" s="15"/>
      <c r="H16" s="15"/>
      <c r="I16" s="15"/>
      <c r="J16" s="15"/>
      <c r="K16" s="129"/>
      <c r="L16" s="129">
        <v>237.7</v>
      </c>
      <c r="M16" s="14"/>
      <c r="N16" s="14">
        <f t="shared" si="1"/>
        <v>237.7</v>
      </c>
      <c r="O16" s="14">
        <f t="shared" si="2"/>
        <v>237.7</v>
      </c>
      <c r="P16" s="139" t="e">
        <f t="shared" si="3"/>
        <v>#DIV/0!</v>
      </c>
    </row>
    <row r="17" spans="1:16" ht="46.5" customHeight="1">
      <c r="A17" s="116"/>
      <c r="B17" s="247" t="s">
        <v>394</v>
      </c>
      <c r="C17" s="248"/>
      <c r="D17" s="249"/>
      <c r="E17" s="15"/>
      <c r="F17" s="15"/>
      <c r="G17" s="15"/>
      <c r="H17" s="15"/>
      <c r="I17" s="15"/>
      <c r="J17" s="15"/>
      <c r="K17" s="129"/>
      <c r="L17" s="129">
        <v>593.4</v>
      </c>
      <c r="M17" s="14"/>
      <c r="N17" s="14">
        <f t="shared" si="1"/>
        <v>593.4</v>
      </c>
      <c r="O17" s="14">
        <f t="shared" si="2"/>
        <v>593.4</v>
      </c>
      <c r="P17" s="139" t="e">
        <f t="shared" si="3"/>
        <v>#DIV/0!</v>
      </c>
    </row>
    <row r="18" spans="1:16" ht="79.5" customHeight="1">
      <c r="A18" s="109" t="s">
        <v>94</v>
      </c>
      <c r="B18" s="251" t="s">
        <v>97</v>
      </c>
      <c r="C18" s="252"/>
      <c r="D18" s="252"/>
      <c r="E18" s="14">
        <f t="shared" ref="E18:K18" si="4">SUM(E19:E57)</f>
        <v>0</v>
      </c>
      <c r="F18" s="14">
        <f t="shared" si="4"/>
        <v>0</v>
      </c>
      <c r="G18" s="14">
        <f t="shared" si="4"/>
        <v>0</v>
      </c>
      <c r="H18" s="14">
        <f t="shared" si="4"/>
        <v>0</v>
      </c>
      <c r="I18" s="14">
        <f t="shared" si="4"/>
        <v>0</v>
      </c>
      <c r="J18" s="14">
        <f>SUM(J19:J57)</f>
        <v>76.5</v>
      </c>
      <c r="K18" s="14">
        <f t="shared" si="4"/>
        <v>0</v>
      </c>
      <c r="L18" s="14">
        <f>SUM(L19:L57)</f>
        <v>377.40000000000003</v>
      </c>
      <c r="M18" s="14">
        <f>E18+G18+I18+K18</f>
        <v>0</v>
      </c>
      <c r="N18" s="14">
        <f>F18+H18+J18+L18</f>
        <v>453.90000000000003</v>
      </c>
      <c r="O18" s="14">
        <f t="shared" si="2"/>
        <v>453.90000000000003</v>
      </c>
      <c r="P18" s="138" t="e">
        <f t="shared" si="3"/>
        <v>#DIV/0!</v>
      </c>
    </row>
    <row r="19" spans="1:16" ht="27.75" customHeight="1">
      <c r="A19" s="109"/>
      <c r="B19" s="238" t="s">
        <v>271</v>
      </c>
      <c r="C19" s="239"/>
      <c r="D19" s="240"/>
      <c r="E19" s="14"/>
      <c r="F19" s="14"/>
      <c r="G19" s="14"/>
      <c r="H19" s="14"/>
      <c r="I19" s="14"/>
      <c r="J19" s="15">
        <v>1.6</v>
      </c>
      <c r="K19" s="129"/>
      <c r="L19" s="129"/>
      <c r="M19" s="14"/>
      <c r="N19" s="14">
        <f t="shared" ref="N19:N57" si="5">F19+H19+J19+L19</f>
        <v>1.6</v>
      </c>
      <c r="O19" s="14">
        <f t="shared" si="2"/>
        <v>1.6</v>
      </c>
      <c r="P19" s="138" t="e">
        <f t="shared" si="3"/>
        <v>#DIV/0!</v>
      </c>
    </row>
    <row r="20" spans="1:16" ht="27.75" customHeight="1">
      <c r="A20" s="109"/>
      <c r="B20" s="238" t="s">
        <v>272</v>
      </c>
      <c r="C20" s="239"/>
      <c r="D20" s="240"/>
      <c r="E20" s="14"/>
      <c r="F20" s="14"/>
      <c r="G20" s="14"/>
      <c r="H20" s="14"/>
      <c r="I20" s="14"/>
      <c r="J20" s="15"/>
      <c r="K20" s="129"/>
      <c r="L20" s="129">
        <v>2.2000000000000002</v>
      </c>
      <c r="M20" s="14"/>
      <c r="N20" s="14">
        <f t="shared" si="5"/>
        <v>2.2000000000000002</v>
      </c>
      <c r="O20" s="14">
        <f t="shared" si="2"/>
        <v>2.2000000000000002</v>
      </c>
      <c r="P20" s="138" t="e">
        <f t="shared" si="3"/>
        <v>#DIV/0!</v>
      </c>
    </row>
    <row r="21" spans="1:16" ht="39" customHeight="1">
      <c r="A21" s="109"/>
      <c r="B21" s="238" t="s">
        <v>273</v>
      </c>
      <c r="C21" s="239"/>
      <c r="D21" s="240"/>
      <c r="E21" s="14"/>
      <c r="F21" s="14"/>
      <c r="G21" s="14"/>
      <c r="H21" s="14"/>
      <c r="I21" s="14"/>
      <c r="J21" s="15"/>
      <c r="K21" s="129"/>
      <c r="L21" s="129">
        <v>2</v>
      </c>
      <c r="M21" s="14"/>
      <c r="N21" s="14">
        <f t="shared" si="5"/>
        <v>2</v>
      </c>
      <c r="O21" s="14">
        <f t="shared" si="2"/>
        <v>2</v>
      </c>
      <c r="P21" s="138" t="e">
        <f t="shared" si="3"/>
        <v>#DIV/0!</v>
      </c>
    </row>
    <row r="22" spans="1:16" ht="39" customHeight="1">
      <c r="A22" s="109"/>
      <c r="B22" s="238" t="s">
        <v>274</v>
      </c>
      <c r="C22" s="239"/>
      <c r="D22" s="240"/>
      <c r="E22" s="14"/>
      <c r="F22" s="14"/>
      <c r="G22" s="14"/>
      <c r="H22" s="14"/>
      <c r="I22" s="14"/>
      <c r="J22" s="15"/>
      <c r="K22" s="129"/>
      <c r="L22" s="129">
        <v>1</v>
      </c>
      <c r="M22" s="14"/>
      <c r="N22" s="14">
        <f t="shared" si="5"/>
        <v>1</v>
      </c>
      <c r="O22" s="14">
        <f t="shared" si="2"/>
        <v>1</v>
      </c>
      <c r="P22" s="138" t="e">
        <f t="shared" si="3"/>
        <v>#DIV/0!</v>
      </c>
    </row>
    <row r="23" spans="1:16" ht="28.5" customHeight="1">
      <c r="A23" s="109"/>
      <c r="B23" s="238" t="s">
        <v>275</v>
      </c>
      <c r="C23" s="239"/>
      <c r="D23" s="240"/>
      <c r="E23" s="14"/>
      <c r="F23" s="14"/>
      <c r="G23" s="14"/>
      <c r="H23" s="14"/>
      <c r="I23" s="14"/>
      <c r="J23" s="15"/>
      <c r="K23" s="129"/>
      <c r="L23" s="129">
        <v>0.6</v>
      </c>
      <c r="M23" s="14"/>
      <c r="N23" s="14">
        <f t="shared" si="5"/>
        <v>0.6</v>
      </c>
      <c r="O23" s="14">
        <f t="shared" si="2"/>
        <v>0.6</v>
      </c>
      <c r="P23" s="138" t="e">
        <f t="shared" si="3"/>
        <v>#DIV/0!</v>
      </c>
    </row>
    <row r="24" spans="1:16" ht="30.75" customHeight="1">
      <c r="A24" s="109"/>
      <c r="B24" s="238" t="s">
        <v>276</v>
      </c>
      <c r="C24" s="239"/>
      <c r="D24" s="240"/>
      <c r="E24" s="14"/>
      <c r="F24" s="14"/>
      <c r="G24" s="14"/>
      <c r="H24" s="14"/>
      <c r="I24" s="14"/>
      <c r="J24" s="15"/>
      <c r="K24" s="129"/>
      <c r="L24" s="129">
        <v>5</v>
      </c>
      <c r="M24" s="14"/>
      <c r="N24" s="14">
        <f t="shared" si="5"/>
        <v>5</v>
      </c>
      <c r="O24" s="14">
        <f t="shared" si="2"/>
        <v>5</v>
      </c>
      <c r="P24" s="138" t="e">
        <f t="shared" si="3"/>
        <v>#DIV/0!</v>
      </c>
    </row>
    <row r="25" spans="1:16" ht="39" customHeight="1">
      <c r="A25" s="109"/>
      <c r="B25" s="238" t="s">
        <v>277</v>
      </c>
      <c r="C25" s="239"/>
      <c r="D25" s="240"/>
      <c r="E25" s="14"/>
      <c r="F25" s="14"/>
      <c r="G25" s="14"/>
      <c r="H25" s="14"/>
      <c r="I25" s="14"/>
      <c r="J25" s="15">
        <v>5.5</v>
      </c>
      <c r="K25" s="129"/>
      <c r="L25" s="129"/>
      <c r="M25" s="14"/>
      <c r="N25" s="14">
        <f t="shared" si="5"/>
        <v>5.5</v>
      </c>
      <c r="O25" s="14">
        <f t="shared" si="2"/>
        <v>5.5</v>
      </c>
      <c r="P25" s="138" t="e">
        <f t="shared" si="3"/>
        <v>#DIV/0!</v>
      </c>
    </row>
    <row r="26" spans="1:16" ht="39" customHeight="1">
      <c r="A26" s="109"/>
      <c r="B26" s="238" t="s">
        <v>278</v>
      </c>
      <c r="C26" s="239"/>
      <c r="D26" s="240"/>
      <c r="E26" s="14"/>
      <c r="F26" s="14"/>
      <c r="G26" s="14"/>
      <c r="H26" s="14"/>
      <c r="I26" s="14"/>
      <c r="J26" s="15">
        <v>5.7</v>
      </c>
      <c r="K26" s="129"/>
      <c r="L26" s="129"/>
      <c r="M26" s="14"/>
      <c r="N26" s="14">
        <f t="shared" si="5"/>
        <v>5.7</v>
      </c>
      <c r="O26" s="14">
        <f t="shared" si="2"/>
        <v>5.7</v>
      </c>
      <c r="P26" s="138" t="e">
        <f t="shared" si="3"/>
        <v>#DIV/0!</v>
      </c>
    </row>
    <row r="27" spans="1:16" ht="39" customHeight="1">
      <c r="A27" s="109"/>
      <c r="B27" s="238" t="s">
        <v>279</v>
      </c>
      <c r="C27" s="239"/>
      <c r="D27" s="240"/>
      <c r="E27" s="14"/>
      <c r="F27" s="14"/>
      <c r="G27" s="14"/>
      <c r="H27" s="14"/>
      <c r="I27" s="14"/>
      <c r="J27" s="15">
        <v>2.5</v>
      </c>
      <c r="K27" s="129"/>
      <c r="L27" s="129"/>
      <c r="M27" s="14"/>
      <c r="N27" s="14">
        <f t="shared" si="5"/>
        <v>2.5</v>
      </c>
      <c r="O27" s="14">
        <f t="shared" si="2"/>
        <v>2.5</v>
      </c>
      <c r="P27" s="138" t="e">
        <f t="shared" si="3"/>
        <v>#DIV/0!</v>
      </c>
    </row>
    <row r="28" spans="1:16" ht="39" customHeight="1">
      <c r="A28" s="109"/>
      <c r="B28" s="238" t="s">
        <v>280</v>
      </c>
      <c r="C28" s="239"/>
      <c r="D28" s="240"/>
      <c r="E28" s="14"/>
      <c r="F28" s="14"/>
      <c r="G28" s="14"/>
      <c r="H28" s="14"/>
      <c r="I28" s="14"/>
      <c r="J28" s="15">
        <v>0.9</v>
      </c>
      <c r="K28" s="129"/>
      <c r="L28" s="129"/>
      <c r="M28" s="14"/>
      <c r="N28" s="14">
        <f t="shared" si="5"/>
        <v>0.9</v>
      </c>
      <c r="O28" s="14">
        <f t="shared" si="2"/>
        <v>0.9</v>
      </c>
      <c r="P28" s="138" t="e">
        <f t="shared" si="3"/>
        <v>#DIV/0!</v>
      </c>
    </row>
    <row r="29" spans="1:16" ht="39" customHeight="1">
      <c r="A29" s="109"/>
      <c r="B29" s="238" t="s">
        <v>281</v>
      </c>
      <c r="C29" s="239"/>
      <c r="D29" s="240"/>
      <c r="E29" s="14"/>
      <c r="F29" s="14"/>
      <c r="G29" s="14"/>
      <c r="H29" s="14"/>
      <c r="I29" s="14"/>
      <c r="J29" s="15">
        <v>1.3</v>
      </c>
      <c r="K29" s="129"/>
      <c r="L29" s="129"/>
      <c r="M29" s="14"/>
      <c r="N29" s="14">
        <f t="shared" si="5"/>
        <v>1.3</v>
      </c>
      <c r="O29" s="14">
        <f t="shared" si="2"/>
        <v>1.3</v>
      </c>
      <c r="P29" s="138" t="e">
        <f t="shared" si="3"/>
        <v>#DIV/0!</v>
      </c>
    </row>
    <row r="30" spans="1:16" ht="27.75" customHeight="1">
      <c r="A30" s="109"/>
      <c r="B30" s="238" t="s">
        <v>282</v>
      </c>
      <c r="C30" s="239"/>
      <c r="D30" s="240"/>
      <c r="E30" s="14"/>
      <c r="F30" s="14"/>
      <c r="G30" s="14"/>
      <c r="H30" s="14"/>
      <c r="I30" s="14"/>
      <c r="J30" s="15">
        <v>0.5</v>
      </c>
      <c r="K30" s="129"/>
      <c r="L30" s="129"/>
      <c r="M30" s="14"/>
      <c r="N30" s="14">
        <f t="shared" si="5"/>
        <v>0.5</v>
      </c>
      <c r="O30" s="14">
        <f t="shared" si="2"/>
        <v>0.5</v>
      </c>
      <c r="P30" s="138" t="e">
        <f t="shared" si="3"/>
        <v>#DIV/0!</v>
      </c>
    </row>
    <row r="31" spans="1:16" ht="39" customHeight="1">
      <c r="A31" s="109"/>
      <c r="B31" s="238" t="s">
        <v>283</v>
      </c>
      <c r="C31" s="239"/>
      <c r="D31" s="240"/>
      <c r="E31" s="14"/>
      <c r="F31" s="14"/>
      <c r="G31" s="14"/>
      <c r="H31" s="14"/>
      <c r="I31" s="14"/>
      <c r="J31" s="15">
        <v>1.8</v>
      </c>
      <c r="K31" s="129"/>
      <c r="L31" s="129"/>
      <c r="M31" s="14"/>
      <c r="N31" s="14">
        <f t="shared" si="5"/>
        <v>1.8</v>
      </c>
      <c r="O31" s="14">
        <f t="shared" si="2"/>
        <v>1.8</v>
      </c>
      <c r="P31" s="138" t="e">
        <f t="shared" si="3"/>
        <v>#DIV/0!</v>
      </c>
    </row>
    <row r="32" spans="1:16" ht="27.75" customHeight="1">
      <c r="A32" s="109"/>
      <c r="B32" s="238" t="s">
        <v>284</v>
      </c>
      <c r="C32" s="239"/>
      <c r="D32" s="240"/>
      <c r="E32" s="14"/>
      <c r="F32" s="14"/>
      <c r="G32" s="14"/>
      <c r="H32" s="14"/>
      <c r="I32" s="14"/>
      <c r="J32" s="15"/>
      <c r="K32" s="129"/>
      <c r="L32" s="129">
        <v>7.2</v>
      </c>
      <c r="M32" s="14"/>
      <c r="N32" s="14">
        <f t="shared" si="5"/>
        <v>7.2</v>
      </c>
      <c r="O32" s="14">
        <f t="shared" si="2"/>
        <v>7.2</v>
      </c>
      <c r="P32" s="138" t="e">
        <f t="shared" si="3"/>
        <v>#DIV/0!</v>
      </c>
    </row>
    <row r="33" spans="1:16" ht="27.75" customHeight="1">
      <c r="A33" s="109"/>
      <c r="B33" s="238" t="s">
        <v>285</v>
      </c>
      <c r="C33" s="239"/>
      <c r="D33" s="240"/>
      <c r="E33" s="14"/>
      <c r="F33" s="14"/>
      <c r="G33" s="14"/>
      <c r="H33" s="14"/>
      <c r="I33" s="14"/>
      <c r="J33" s="15">
        <v>16.5</v>
      </c>
      <c r="K33" s="129"/>
      <c r="L33" s="129"/>
      <c r="M33" s="14"/>
      <c r="N33" s="14">
        <f t="shared" si="5"/>
        <v>16.5</v>
      </c>
      <c r="O33" s="14">
        <f t="shared" si="2"/>
        <v>16.5</v>
      </c>
      <c r="P33" s="138" t="e">
        <f t="shared" si="3"/>
        <v>#DIV/0!</v>
      </c>
    </row>
    <row r="34" spans="1:16" ht="27.75" customHeight="1">
      <c r="A34" s="109"/>
      <c r="B34" s="238" t="s">
        <v>286</v>
      </c>
      <c r="C34" s="239"/>
      <c r="D34" s="240"/>
      <c r="E34" s="14"/>
      <c r="F34" s="14"/>
      <c r="G34" s="14"/>
      <c r="H34" s="14"/>
      <c r="I34" s="14"/>
      <c r="J34" s="15"/>
      <c r="K34" s="129"/>
      <c r="L34" s="129">
        <v>18.899999999999999</v>
      </c>
      <c r="M34" s="14"/>
      <c r="N34" s="14">
        <f t="shared" si="5"/>
        <v>18.899999999999999</v>
      </c>
      <c r="O34" s="14">
        <f t="shared" si="2"/>
        <v>18.899999999999999</v>
      </c>
      <c r="P34" s="138" t="e">
        <f t="shared" si="3"/>
        <v>#DIV/0!</v>
      </c>
    </row>
    <row r="35" spans="1:16" ht="27.75" customHeight="1">
      <c r="A35" s="109"/>
      <c r="B35" s="238" t="s">
        <v>287</v>
      </c>
      <c r="C35" s="239"/>
      <c r="D35" s="240"/>
      <c r="E35" s="14"/>
      <c r="F35" s="14"/>
      <c r="G35" s="14"/>
      <c r="H35" s="14"/>
      <c r="I35" s="14"/>
      <c r="J35" s="15"/>
      <c r="K35" s="129"/>
      <c r="L35" s="129">
        <v>29.8</v>
      </c>
      <c r="M35" s="14"/>
      <c r="N35" s="14">
        <f t="shared" si="5"/>
        <v>29.8</v>
      </c>
      <c r="O35" s="14">
        <f t="shared" si="2"/>
        <v>29.8</v>
      </c>
      <c r="P35" s="138" t="e">
        <f t="shared" si="3"/>
        <v>#DIV/0!</v>
      </c>
    </row>
    <row r="36" spans="1:16" ht="27.75" customHeight="1">
      <c r="A36" s="109"/>
      <c r="B36" s="238" t="s">
        <v>288</v>
      </c>
      <c r="C36" s="239"/>
      <c r="D36" s="240"/>
      <c r="E36" s="14"/>
      <c r="F36" s="14"/>
      <c r="G36" s="14"/>
      <c r="H36" s="14"/>
      <c r="I36" s="14"/>
      <c r="J36" s="15">
        <v>26.7</v>
      </c>
      <c r="K36" s="129"/>
      <c r="L36" s="129"/>
      <c r="M36" s="14"/>
      <c r="N36" s="14">
        <f t="shared" si="5"/>
        <v>26.7</v>
      </c>
      <c r="O36" s="14">
        <f t="shared" si="2"/>
        <v>26.7</v>
      </c>
      <c r="P36" s="138" t="e">
        <f t="shared" si="3"/>
        <v>#DIV/0!</v>
      </c>
    </row>
    <row r="37" spans="1:16" ht="27.75" customHeight="1">
      <c r="A37" s="109"/>
      <c r="B37" s="238" t="s">
        <v>289</v>
      </c>
      <c r="C37" s="239"/>
      <c r="D37" s="240"/>
      <c r="E37" s="14"/>
      <c r="F37" s="14"/>
      <c r="G37" s="14"/>
      <c r="H37" s="14"/>
      <c r="I37" s="14"/>
      <c r="J37" s="15">
        <v>4.5999999999999996</v>
      </c>
      <c r="K37" s="129"/>
      <c r="L37" s="129"/>
      <c r="M37" s="14"/>
      <c r="N37" s="14">
        <f t="shared" si="5"/>
        <v>4.5999999999999996</v>
      </c>
      <c r="O37" s="14">
        <f t="shared" si="2"/>
        <v>4.5999999999999996</v>
      </c>
      <c r="P37" s="138" t="e">
        <f t="shared" si="3"/>
        <v>#DIV/0!</v>
      </c>
    </row>
    <row r="38" spans="1:16" ht="27.75" customHeight="1">
      <c r="A38" s="109"/>
      <c r="B38" s="238" t="s">
        <v>290</v>
      </c>
      <c r="C38" s="239"/>
      <c r="D38" s="240"/>
      <c r="E38" s="14"/>
      <c r="F38" s="14"/>
      <c r="G38" s="14"/>
      <c r="H38" s="14"/>
      <c r="I38" s="14"/>
      <c r="J38" s="15">
        <v>8.9</v>
      </c>
      <c r="K38" s="129"/>
      <c r="L38" s="129"/>
      <c r="M38" s="14"/>
      <c r="N38" s="14">
        <f t="shared" si="5"/>
        <v>8.9</v>
      </c>
      <c r="O38" s="14">
        <f t="shared" si="2"/>
        <v>8.9</v>
      </c>
      <c r="P38" s="138" t="e">
        <f t="shared" si="3"/>
        <v>#DIV/0!</v>
      </c>
    </row>
    <row r="39" spans="1:16" ht="27.75" customHeight="1">
      <c r="A39" s="109"/>
      <c r="B39" s="238" t="s">
        <v>291</v>
      </c>
      <c r="C39" s="239"/>
      <c r="D39" s="240"/>
      <c r="E39" s="14"/>
      <c r="F39" s="14"/>
      <c r="G39" s="14"/>
      <c r="H39" s="14"/>
      <c r="I39" s="14"/>
      <c r="J39" s="15"/>
      <c r="K39" s="129"/>
      <c r="L39" s="129">
        <v>10</v>
      </c>
      <c r="M39" s="14"/>
      <c r="N39" s="14">
        <f t="shared" si="5"/>
        <v>10</v>
      </c>
      <c r="O39" s="14">
        <f t="shared" si="2"/>
        <v>10</v>
      </c>
      <c r="P39" s="138" t="e">
        <f t="shared" si="3"/>
        <v>#DIV/0!</v>
      </c>
    </row>
    <row r="40" spans="1:16" ht="27.75" customHeight="1">
      <c r="A40" s="109"/>
      <c r="B40" s="238" t="s">
        <v>292</v>
      </c>
      <c r="C40" s="239"/>
      <c r="D40" s="240"/>
      <c r="E40" s="14"/>
      <c r="F40" s="14"/>
      <c r="G40" s="14"/>
      <c r="H40" s="14"/>
      <c r="I40" s="14"/>
      <c r="J40" s="15"/>
      <c r="K40" s="129"/>
      <c r="L40" s="129">
        <v>0.2</v>
      </c>
      <c r="M40" s="14"/>
      <c r="N40" s="14">
        <f t="shared" si="5"/>
        <v>0.2</v>
      </c>
      <c r="O40" s="14">
        <f t="shared" si="2"/>
        <v>0.2</v>
      </c>
      <c r="P40" s="138" t="e">
        <f t="shared" si="3"/>
        <v>#DIV/0!</v>
      </c>
    </row>
    <row r="41" spans="1:16" ht="26.25" customHeight="1">
      <c r="A41" s="109"/>
      <c r="B41" s="238" t="s">
        <v>293</v>
      </c>
      <c r="C41" s="239"/>
      <c r="D41" s="239"/>
      <c r="E41" s="15"/>
      <c r="F41" s="15"/>
      <c r="G41" s="15"/>
      <c r="H41" s="15"/>
      <c r="I41" s="15"/>
      <c r="J41" s="15"/>
      <c r="K41" s="129"/>
      <c r="L41" s="129">
        <v>1</v>
      </c>
      <c r="M41" s="14">
        <f>E41+G41+I41+K41</f>
        <v>0</v>
      </c>
      <c r="N41" s="14">
        <f t="shared" si="5"/>
        <v>1</v>
      </c>
      <c r="O41" s="14">
        <f t="shared" si="2"/>
        <v>1</v>
      </c>
      <c r="P41" s="139" t="e">
        <f t="shared" si="3"/>
        <v>#DIV/0!</v>
      </c>
    </row>
    <row r="42" spans="1:16" ht="27" customHeight="1">
      <c r="A42" s="117"/>
      <c r="B42" s="241" t="s">
        <v>397</v>
      </c>
      <c r="C42" s="242"/>
      <c r="D42" s="243"/>
      <c r="E42" s="15"/>
      <c r="F42" s="15"/>
      <c r="G42" s="15"/>
      <c r="H42" s="15"/>
      <c r="I42" s="15"/>
      <c r="J42" s="15"/>
      <c r="K42" s="129"/>
      <c r="L42" s="129">
        <v>31.9</v>
      </c>
      <c r="M42" s="14"/>
      <c r="N42" s="14">
        <f t="shared" si="5"/>
        <v>31.9</v>
      </c>
      <c r="O42" s="14">
        <f t="shared" si="2"/>
        <v>31.9</v>
      </c>
      <c r="P42" s="139" t="e">
        <f t="shared" si="3"/>
        <v>#DIV/0!</v>
      </c>
    </row>
    <row r="43" spans="1:16" ht="24.75" customHeight="1">
      <c r="A43" s="117"/>
      <c r="B43" s="241" t="s">
        <v>396</v>
      </c>
      <c r="C43" s="242"/>
      <c r="D43" s="243"/>
      <c r="E43" s="15"/>
      <c r="F43" s="15"/>
      <c r="G43" s="15"/>
      <c r="H43" s="15"/>
      <c r="I43" s="15"/>
      <c r="J43" s="15"/>
      <c r="K43" s="129"/>
      <c r="L43" s="129">
        <v>2.1</v>
      </c>
      <c r="M43" s="14"/>
      <c r="N43" s="14">
        <f t="shared" si="5"/>
        <v>2.1</v>
      </c>
      <c r="O43" s="14">
        <f t="shared" si="2"/>
        <v>2.1</v>
      </c>
      <c r="P43" s="139" t="e">
        <f t="shared" si="3"/>
        <v>#DIV/0!</v>
      </c>
    </row>
    <row r="44" spans="1:16" ht="58.5" customHeight="1">
      <c r="A44" s="117"/>
      <c r="B44" s="244" t="s">
        <v>398</v>
      </c>
      <c r="C44" s="245"/>
      <c r="D44" s="246"/>
      <c r="E44" s="15"/>
      <c r="F44" s="15"/>
      <c r="G44" s="15"/>
      <c r="H44" s="15"/>
      <c r="I44" s="15"/>
      <c r="J44" s="15"/>
      <c r="K44" s="129"/>
      <c r="L44" s="129">
        <v>31.5</v>
      </c>
      <c r="M44" s="14"/>
      <c r="N44" s="14">
        <f t="shared" si="5"/>
        <v>31.5</v>
      </c>
      <c r="O44" s="14">
        <f t="shared" si="2"/>
        <v>31.5</v>
      </c>
      <c r="P44" s="139" t="e">
        <f t="shared" si="3"/>
        <v>#DIV/0!</v>
      </c>
    </row>
    <row r="45" spans="1:16" ht="38.25" customHeight="1">
      <c r="A45" s="117"/>
      <c r="B45" s="244" t="s">
        <v>399</v>
      </c>
      <c r="C45" s="245"/>
      <c r="D45" s="246"/>
      <c r="E45" s="15"/>
      <c r="F45" s="15"/>
      <c r="G45" s="15"/>
      <c r="H45" s="15"/>
      <c r="I45" s="15"/>
      <c r="J45" s="15"/>
      <c r="K45" s="129"/>
      <c r="L45" s="129">
        <v>32.4</v>
      </c>
      <c r="M45" s="14"/>
      <c r="N45" s="14">
        <f t="shared" si="5"/>
        <v>32.4</v>
      </c>
      <c r="O45" s="14">
        <f t="shared" si="2"/>
        <v>32.4</v>
      </c>
      <c r="P45" s="139" t="e">
        <f t="shared" si="3"/>
        <v>#DIV/0!</v>
      </c>
    </row>
    <row r="46" spans="1:16" ht="30" customHeight="1">
      <c r="A46" s="117"/>
      <c r="B46" s="106" t="s">
        <v>400</v>
      </c>
      <c r="C46" s="107"/>
      <c r="D46" s="108"/>
      <c r="E46" s="15"/>
      <c r="F46" s="15"/>
      <c r="G46" s="15"/>
      <c r="H46" s="15"/>
      <c r="I46" s="15"/>
      <c r="J46" s="15"/>
      <c r="K46" s="129"/>
      <c r="L46" s="129">
        <v>41</v>
      </c>
      <c r="M46" s="14"/>
      <c r="N46" s="14">
        <f t="shared" si="5"/>
        <v>41</v>
      </c>
      <c r="O46" s="14">
        <f t="shared" si="2"/>
        <v>41</v>
      </c>
      <c r="P46" s="139" t="e">
        <f t="shared" si="3"/>
        <v>#DIV/0!</v>
      </c>
    </row>
    <row r="47" spans="1:16" ht="30" customHeight="1">
      <c r="A47" s="117"/>
      <c r="B47" s="241" t="s">
        <v>401</v>
      </c>
      <c r="C47" s="242"/>
      <c r="D47" s="243"/>
      <c r="E47" s="15"/>
      <c r="F47" s="15"/>
      <c r="G47" s="15"/>
      <c r="H47" s="15"/>
      <c r="I47" s="15"/>
      <c r="J47" s="15"/>
      <c r="K47" s="129"/>
      <c r="L47" s="129">
        <v>4.0999999999999996</v>
      </c>
      <c r="M47" s="14"/>
      <c r="N47" s="14">
        <f t="shared" si="5"/>
        <v>4.0999999999999996</v>
      </c>
      <c r="O47" s="14">
        <f t="shared" si="2"/>
        <v>4.0999999999999996</v>
      </c>
      <c r="P47" s="139" t="e">
        <f t="shared" si="3"/>
        <v>#DIV/0!</v>
      </c>
    </row>
    <row r="48" spans="1:16" ht="48" customHeight="1">
      <c r="A48" s="117"/>
      <c r="B48" s="244" t="s">
        <v>402</v>
      </c>
      <c r="C48" s="245"/>
      <c r="D48" s="246"/>
      <c r="E48" s="15"/>
      <c r="F48" s="15"/>
      <c r="G48" s="15"/>
      <c r="H48" s="15"/>
      <c r="I48" s="15"/>
      <c r="J48" s="15"/>
      <c r="K48" s="129"/>
      <c r="L48" s="129">
        <v>27.3</v>
      </c>
      <c r="M48" s="14"/>
      <c r="N48" s="14">
        <f t="shared" si="5"/>
        <v>27.3</v>
      </c>
      <c r="O48" s="14">
        <f t="shared" si="2"/>
        <v>27.3</v>
      </c>
      <c r="P48" s="139" t="e">
        <f t="shared" si="3"/>
        <v>#DIV/0!</v>
      </c>
    </row>
    <row r="49" spans="1:16" ht="30" customHeight="1">
      <c r="A49" s="117"/>
      <c r="B49" s="244" t="s">
        <v>403</v>
      </c>
      <c r="C49" s="245"/>
      <c r="D49" s="246"/>
      <c r="E49" s="15"/>
      <c r="F49" s="15"/>
      <c r="G49" s="15"/>
      <c r="H49" s="15"/>
      <c r="I49" s="15"/>
      <c r="J49" s="15"/>
      <c r="K49" s="129"/>
      <c r="L49" s="129">
        <v>24.1</v>
      </c>
      <c r="M49" s="14"/>
      <c r="N49" s="14">
        <f t="shared" si="5"/>
        <v>24.1</v>
      </c>
      <c r="O49" s="14">
        <f t="shared" si="2"/>
        <v>24.1</v>
      </c>
      <c r="P49" s="139" t="e">
        <f t="shared" si="3"/>
        <v>#DIV/0!</v>
      </c>
    </row>
    <row r="50" spans="1:16" ht="30" customHeight="1">
      <c r="A50" s="117"/>
      <c r="B50" s="244" t="s">
        <v>404</v>
      </c>
      <c r="C50" s="245"/>
      <c r="D50" s="246"/>
      <c r="E50" s="15"/>
      <c r="F50" s="15"/>
      <c r="G50" s="15"/>
      <c r="H50" s="15"/>
      <c r="I50" s="15"/>
      <c r="J50" s="15"/>
      <c r="K50" s="129"/>
      <c r="L50" s="129">
        <v>7.7</v>
      </c>
      <c r="M50" s="14"/>
      <c r="N50" s="14">
        <f t="shared" si="5"/>
        <v>7.7</v>
      </c>
      <c r="O50" s="14">
        <f t="shared" si="2"/>
        <v>7.7</v>
      </c>
      <c r="P50" s="139" t="e">
        <f t="shared" si="3"/>
        <v>#DIV/0!</v>
      </c>
    </row>
    <row r="51" spans="1:16" ht="30" customHeight="1">
      <c r="A51" s="117"/>
      <c r="B51" s="244" t="s">
        <v>405</v>
      </c>
      <c r="C51" s="245"/>
      <c r="D51" s="246"/>
      <c r="E51" s="15"/>
      <c r="F51" s="15"/>
      <c r="G51" s="15"/>
      <c r="H51" s="15"/>
      <c r="I51" s="15"/>
      <c r="J51" s="15"/>
      <c r="K51" s="129"/>
      <c r="L51" s="129">
        <v>5.5</v>
      </c>
      <c r="M51" s="14"/>
      <c r="N51" s="14">
        <f t="shared" si="5"/>
        <v>5.5</v>
      </c>
      <c r="O51" s="14">
        <f t="shared" si="2"/>
        <v>5.5</v>
      </c>
      <c r="P51" s="139" t="e">
        <f t="shared" si="3"/>
        <v>#DIV/0!</v>
      </c>
    </row>
    <row r="52" spans="1:16" ht="30" customHeight="1">
      <c r="A52" s="117"/>
      <c r="B52" s="241" t="s">
        <v>406</v>
      </c>
      <c r="C52" s="242"/>
      <c r="D52" s="243"/>
      <c r="E52" s="15"/>
      <c r="F52" s="15"/>
      <c r="G52" s="15"/>
      <c r="H52" s="15"/>
      <c r="I52" s="15"/>
      <c r="J52" s="15"/>
      <c r="K52" s="129"/>
      <c r="L52" s="129">
        <v>4.0999999999999996</v>
      </c>
      <c r="M52" s="14"/>
      <c r="N52" s="14">
        <f t="shared" si="5"/>
        <v>4.0999999999999996</v>
      </c>
      <c r="O52" s="14">
        <f t="shared" si="2"/>
        <v>4.0999999999999996</v>
      </c>
      <c r="P52" s="139" t="e">
        <f t="shared" si="3"/>
        <v>#DIV/0!</v>
      </c>
    </row>
    <row r="53" spans="1:16" ht="30" customHeight="1">
      <c r="A53" s="117"/>
      <c r="B53" s="241" t="s">
        <v>407</v>
      </c>
      <c r="C53" s="242"/>
      <c r="D53" s="243"/>
      <c r="E53" s="15"/>
      <c r="F53" s="15"/>
      <c r="G53" s="15"/>
      <c r="H53" s="15"/>
      <c r="I53" s="15"/>
      <c r="J53" s="15"/>
      <c r="K53" s="129"/>
      <c r="L53" s="129">
        <v>1</v>
      </c>
      <c r="M53" s="14"/>
      <c r="N53" s="14">
        <f t="shared" si="5"/>
        <v>1</v>
      </c>
      <c r="O53" s="14">
        <f t="shared" si="2"/>
        <v>1</v>
      </c>
      <c r="P53" s="139" t="e">
        <f t="shared" si="3"/>
        <v>#DIV/0!</v>
      </c>
    </row>
    <row r="54" spans="1:16" ht="30" customHeight="1">
      <c r="A54" s="117"/>
      <c r="B54" s="241" t="s">
        <v>408</v>
      </c>
      <c r="C54" s="242"/>
      <c r="D54" s="243"/>
      <c r="E54" s="15"/>
      <c r="F54" s="15"/>
      <c r="G54" s="15"/>
      <c r="H54" s="15"/>
      <c r="I54" s="15"/>
      <c r="J54" s="15"/>
      <c r="K54" s="129"/>
      <c r="L54" s="129">
        <v>25</v>
      </c>
      <c r="M54" s="14"/>
      <c r="N54" s="14">
        <f t="shared" si="5"/>
        <v>25</v>
      </c>
      <c r="O54" s="14">
        <f t="shared" si="2"/>
        <v>25</v>
      </c>
      <c r="P54" s="139" t="e">
        <f t="shared" si="3"/>
        <v>#DIV/0!</v>
      </c>
    </row>
    <row r="55" spans="1:16" ht="30" customHeight="1">
      <c r="A55" s="117"/>
      <c r="B55" s="241" t="s">
        <v>411</v>
      </c>
      <c r="C55" s="242"/>
      <c r="D55" s="243"/>
      <c r="E55" s="15"/>
      <c r="F55" s="15"/>
      <c r="G55" s="15"/>
      <c r="H55" s="15"/>
      <c r="I55" s="15"/>
      <c r="J55" s="15"/>
      <c r="K55" s="129"/>
      <c r="L55" s="129">
        <v>0.5</v>
      </c>
      <c r="M55" s="14"/>
      <c r="N55" s="14">
        <f t="shared" si="5"/>
        <v>0.5</v>
      </c>
      <c r="O55" s="14">
        <f t="shared" si="2"/>
        <v>0.5</v>
      </c>
      <c r="P55" s="139" t="e">
        <f t="shared" si="3"/>
        <v>#DIV/0!</v>
      </c>
    </row>
    <row r="56" spans="1:16" ht="38.25" customHeight="1">
      <c r="A56" s="117"/>
      <c r="B56" s="244" t="s">
        <v>409</v>
      </c>
      <c r="C56" s="245"/>
      <c r="D56" s="246"/>
      <c r="E56" s="15"/>
      <c r="F56" s="15"/>
      <c r="G56" s="15"/>
      <c r="H56" s="15"/>
      <c r="I56" s="15"/>
      <c r="J56" s="15"/>
      <c r="K56" s="129"/>
      <c r="L56" s="129">
        <v>48</v>
      </c>
      <c r="M56" s="14"/>
      <c r="N56" s="14">
        <f t="shared" si="5"/>
        <v>48</v>
      </c>
      <c r="O56" s="14">
        <f t="shared" si="2"/>
        <v>48</v>
      </c>
      <c r="P56" s="139" t="e">
        <f t="shared" si="3"/>
        <v>#DIV/0!</v>
      </c>
    </row>
    <row r="57" spans="1:16" ht="24" customHeight="1">
      <c r="A57" s="117"/>
      <c r="B57" s="241" t="s">
        <v>410</v>
      </c>
      <c r="C57" s="242"/>
      <c r="D57" s="243"/>
      <c r="E57" s="15"/>
      <c r="F57" s="15"/>
      <c r="G57" s="15"/>
      <c r="H57" s="15"/>
      <c r="I57" s="15"/>
      <c r="J57" s="15"/>
      <c r="K57" s="129"/>
      <c r="L57" s="129">
        <v>13.3</v>
      </c>
      <c r="M57" s="14"/>
      <c r="N57" s="14">
        <f t="shared" si="5"/>
        <v>13.3</v>
      </c>
      <c r="O57" s="14">
        <f t="shared" si="2"/>
        <v>13.3</v>
      </c>
      <c r="P57" s="139" t="e">
        <f t="shared" si="3"/>
        <v>#DIV/0!</v>
      </c>
    </row>
    <row r="58" spans="1:16" s="146" customFormat="1" ht="32.25" customHeight="1">
      <c r="A58" s="141" t="s">
        <v>105</v>
      </c>
      <c r="B58" s="264" t="s">
        <v>39</v>
      </c>
      <c r="C58" s="265"/>
      <c r="D58" s="266"/>
      <c r="E58" s="14">
        <f>E59</f>
        <v>0</v>
      </c>
      <c r="F58" s="14">
        <f t="shared" ref="F58:L58" si="6">F59</f>
        <v>0</v>
      </c>
      <c r="G58" s="14">
        <f t="shared" si="6"/>
        <v>0</v>
      </c>
      <c r="H58" s="14">
        <f t="shared" si="6"/>
        <v>240</v>
      </c>
      <c r="I58" s="14">
        <f t="shared" si="6"/>
        <v>0</v>
      </c>
      <c r="J58" s="14">
        <f t="shared" si="6"/>
        <v>4</v>
      </c>
      <c r="K58" s="111">
        <f t="shared" si="6"/>
        <v>0</v>
      </c>
      <c r="L58" s="111">
        <f t="shared" si="6"/>
        <v>244</v>
      </c>
      <c r="M58" s="14"/>
      <c r="N58" s="14">
        <f>N59</f>
        <v>244</v>
      </c>
      <c r="O58" s="14">
        <f t="shared" ref="O58:O60" si="7">N58-M58</f>
        <v>244</v>
      </c>
      <c r="P58" s="138" t="e">
        <f t="shared" ref="P58:P60" si="8">(N58/M58)*100</f>
        <v>#DIV/0!</v>
      </c>
    </row>
    <row r="59" spans="1:16" ht="86.25" customHeight="1">
      <c r="A59" s="141"/>
      <c r="B59" s="247" t="s">
        <v>294</v>
      </c>
      <c r="C59" s="248"/>
      <c r="D59" s="249"/>
      <c r="E59" s="15"/>
      <c r="F59" s="15"/>
      <c r="G59" s="15"/>
      <c r="H59" s="15">
        <v>240</v>
      </c>
      <c r="I59" s="15"/>
      <c r="J59" s="15">
        <v>4</v>
      </c>
      <c r="K59" s="129"/>
      <c r="L59" s="129">
        <f>F59+H59+J59</f>
        <v>244</v>
      </c>
      <c r="M59" s="14">
        <f>E59+G59+I59+K59</f>
        <v>0</v>
      </c>
      <c r="N59" s="14">
        <f>F59+H59+J59</f>
        <v>244</v>
      </c>
      <c r="O59" s="14">
        <f t="shared" si="7"/>
        <v>244</v>
      </c>
      <c r="P59" s="139" t="e">
        <f t="shared" si="8"/>
        <v>#DIV/0!</v>
      </c>
    </row>
    <row r="60" spans="1:16" ht="40.5" customHeight="1">
      <c r="A60" s="262" t="s">
        <v>9</v>
      </c>
      <c r="B60" s="263"/>
      <c r="C60" s="263"/>
      <c r="D60" s="263"/>
      <c r="E60" s="1">
        <f>E7+E18</f>
        <v>0</v>
      </c>
      <c r="F60" s="1">
        <f>F7+F18</f>
        <v>0</v>
      </c>
      <c r="G60" s="1">
        <f>G7+G18</f>
        <v>0</v>
      </c>
      <c r="H60" s="1">
        <f>H7+H18+H58</f>
        <v>431.8</v>
      </c>
      <c r="I60" s="1">
        <f>I7+I18</f>
        <v>0</v>
      </c>
      <c r="J60" s="1">
        <f>J7+J18+J58</f>
        <v>80.5</v>
      </c>
      <c r="K60" s="1">
        <f>K7+K18</f>
        <v>0</v>
      </c>
      <c r="L60" s="1">
        <f>L7+L18+L58</f>
        <v>2474.4</v>
      </c>
      <c r="M60" s="1">
        <f>M7+M18</f>
        <v>0</v>
      </c>
      <c r="N60" s="1">
        <f>N7+N18+N58</f>
        <v>2742.7</v>
      </c>
      <c r="O60" s="1">
        <f t="shared" si="7"/>
        <v>2742.7</v>
      </c>
      <c r="P60" s="71" t="e">
        <f t="shared" si="8"/>
        <v>#DIV/0!</v>
      </c>
    </row>
    <row r="61" spans="1:16" ht="20.100000000000001" customHeight="1">
      <c r="A61" s="28"/>
      <c r="B61" s="28"/>
      <c r="C61" s="29"/>
      <c r="D61" s="29"/>
      <c r="E61" s="29"/>
      <c r="F61" s="29"/>
      <c r="G61" s="29"/>
      <c r="H61" s="29"/>
      <c r="I61" s="29"/>
      <c r="J61" s="28"/>
      <c r="K61" s="29"/>
      <c r="L61" s="28"/>
      <c r="M61" s="23"/>
      <c r="N61" s="23"/>
      <c r="O61" s="23"/>
      <c r="P61" s="23"/>
    </row>
    <row r="62" spans="1:16" ht="20.100000000000001" customHeight="1">
      <c r="A62" s="30"/>
      <c r="B62" s="30"/>
      <c r="C62" s="31"/>
      <c r="D62" s="31"/>
      <c r="E62" s="31"/>
      <c r="F62" s="31"/>
      <c r="G62" s="31"/>
      <c r="H62" s="31"/>
      <c r="I62" s="31"/>
      <c r="J62" s="31"/>
      <c r="K62" s="23"/>
      <c r="L62" s="23"/>
      <c r="M62" s="23"/>
      <c r="N62" s="23"/>
      <c r="O62" s="23"/>
      <c r="P62" s="23"/>
    </row>
    <row r="63" spans="1:16" ht="18" customHeight="1">
      <c r="A63" s="30"/>
      <c r="B63" s="30"/>
      <c r="C63" s="31"/>
      <c r="D63" s="31"/>
      <c r="E63" s="31"/>
      <c r="F63" s="31"/>
      <c r="G63" s="31"/>
      <c r="H63" s="31"/>
      <c r="I63" s="31"/>
      <c r="J63" s="31"/>
      <c r="K63" s="23"/>
      <c r="L63" s="23"/>
      <c r="M63" s="23"/>
      <c r="N63" s="23"/>
      <c r="O63" s="23"/>
      <c r="P63" s="23"/>
    </row>
    <row r="64" spans="1:16" s="3" customFormat="1" ht="19.5" hidden="1" customHeight="1">
      <c r="A64" s="32"/>
      <c r="B64" s="32"/>
      <c r="C64" s="24"/>
      <c r="D64" s="24"/>
      <c r="E64" s="24"/>
      <c r="F64" s="24"/>
      <c r="G64" s="32"/>
      <c r="H64" s="32"/>
      <c r="I64" s="32"/>
      <c r="J64" s="32"/>
      <c r="K64" s="32"/>
      <c r="L64" s="32"/>
      <c r="M64" s="32"/>
      <c r="N64" s="32"/>
      <c r="O64" s="32"/>
      <c r="P64" s="144"/>
    </row>
    <row r="65" spans="1:16" s="36" customFormat="1" ht="49.5" customHeight="1">
      <c r="A65" s="33"/>
      <c r="B65" s="258" t="s">
        <v>263</v>
      </c>
      <c r="C65" s="259"/>
      <c r="D65" s="259"/>
      <c r="E65" s="34"/>
      <c r="F65" s="34"/>
      <c r="G65" s="260"/>
      <c r="H65" s="260"/>
      <c r="I65" s="260"/>
      <c r="J65" s="35"/>
      <c r="K65" s="226" t="s">
        <v>205</v>
      </c>
      <c r="L65" s="226"/>
      <c r="M65" s="226"/>
      <c r="N65" s="33"/>
      <c r="O65" s="33"/>
      <c r="P65" s="33"/>
    </row>
    <row r="66" spans="1:16" s="3" customFormat="1" ht="19.5" customHeight="1">
      <c r="A66" s="32"/>
      <c r="B66" s="261" t="s">
        <v>10</v>
      </c>
      <c r="C66" s="261"/>
      <c r="D66" s="261"/>
      <c r="E66" s="37"/>
      <c r="F66" s="37"/>
      <c r="G66" s="42"/>
      <c r="H66" s="43" t="s">
        <v>11</v>
      </c>
      <c r="I66" s="42"/>
      <c r="J66" s="37"/>
      <c r="K66" s="261" t="s">
        <v>17</v>
      </c>
      <c r="L66" s="261"/>
      <c r="M66" s="261"/>
      <c r="N66" s="32"/>
      <c r="O66" s="32"/>
      <c r="P66" s="144"/>
    </row>
    <row r="67" spans="1:16" ht="20.100000000000001" customHeight="1">
      <c r="A67" s="23"/>
      <c r="B67" s="38"/>
      <c r="C67" s="38"/>
      <c r="D67" s="38"/>
      <c r="E67" s="39"/>
      <c r="F67" s="39"/>
      <c r="G67" s="39"/>
      <c r="H67" s="39"/>
      <c r="I67" s="39"/>
      <c r="J67" s="39"/>
      <c r="K67" s="23"/>
      <c r="L67" s="23"/>
      <c r="M67" s="23"/>
      <c r="N67" s="23"/>
      <c r="O67" s="23"/>
      <c r="P67" s="23"/>
    </row>
    <row r="68" spans="1:16" ht="20.100000000000001" customHeight="1">
      <c r="A68" s="23"/>
      <c r="B68" s="38"/>
      <c r="C68" s="38"/>
      <c r="D68" s="38"/>
      <c r="E68" s="38"/>
      <c r="F68" s="38"/>
      <c r="G68" s="38"/>
      <c r="H68" s="38"/>
      <c r="I68" s="38"/>
      <c r="J68" s="38"/>
      <c r="K68" s="23"/>
      <c r="L68" s="23"/>
      <c r="M68" s="23"/>
      <c r="N68" s="23"/>
      <c r="O68" s="23"/>
      <c r="P68" s="23"/>
    </row>
    <row r="69" spans="1:16">
      <c r="A69" s="23"/>
      <c r="B69" s="38"/>
      <c r="C69" s="38"/>
      <c r="D69" s="38"/>
      <c r="E69" s="38"/>
      <c r="F69" s="38"/>
      <c r="G69" s="38"/>
      <c r="H69" s="38"/>
      <c r="I69" s="38"/>
      <c r="J69" s="38"/>
      <c r="K69" s="23"/>
      <c r="L69" s="23"/>
      <c r="M69" s="23"/>
      <c r="N69" s="23"/>
      <c r="O69" s="23"/>
      <c r="P69" s="23"/>
    </row>
    <row r="70" spans="1:16" s="257" customFormat="1" ht="19.149999999999999" customHeight="1">
      <c r="A70" s="256" t="s">
        <v>52</v>
      </c>
    </row>
    <row r="73" spans="1:16">
      <c r="B73" s="40"/>
    </row>
    <row r="74" spans="1:16">
      <c r="B74" s="40"/>
    </row>
    <row r="75" spans="1:16">
      <c r="B75" s="40"/>
    </row>
    <row r="76" spans="1:16">
      <c r="B76" s="40"/>
    </row>
    <row r="77" spans="1:16">
      <c r="B77" s="40"/>
    </row>
    <row r="78" spans="1:16">
      <c r="B78" s="40"/>
    </row>
    <row r="79" spans="1:16">
      <c r="B79" s="40"/>
    </row>
  </sheetData>
  <mergeCells count="67">
    <mergeCell ref="A60:D60"/>
    <mergeCell ref="B42:D42"/>
    <mergeCell ref="B43:D43"/>
    <mergeCell ref="B44:D44"/>
    <mergeCell ref="B45:D45"/>
    <mergeCell ref="B49:D49"/>
    <mergeCell ref="B50:D50"/>
    <mergeCell ref="B51:D51"/>
    <mergeCell ref="B57:D57"/>
    <mergeCell ref="B52:D52"/>
    <mergeCell ref="B53:D53"/>
    <mergeCell ref="B54:D54"/>
    <mergeCell ref="B55:D55"/>
    <mergeCell ref="B56:D56"/>
    <mergeCell ref="B58:D58"/>
    <mergeCell ref="B59:D59"/>
    <mergeCell ref="A70:XFD70"/>
    <mergeCell ref="B65:D65"/>
    <mergeCell ref="G65:I65"/>
    <mergeCell ref="K65:M65"/>
    <mergeCell ref="K66:M66"/>
    <mergeCell ref="B66:D66"/>
    <mergeCell ref="A4:A5"/>
    <mergeCell ref="B7:D7"/>
    <mergeCell ref="B8:D8"/>
    <mergeCell ref="B18:D18"/>
    <mergeCell ref="B41:D41"/>
    <mergeCell ref="B6:D6"/>
    <mergeCell ref="B4:D5"/>
    <mergeCell ref="B40:D40"/>
    <mergeCell ref="B34:D34"/>
    <mergeCell ref="B35:D35"/>
    <mergeCell ref="B36:D36"/>
    <mergeCell ref="B37:D37"/>
    <mergeCell ref="B38:D38"/>
    <mergeCell ref="B31:D31"/>
    <mergeCell ref="B13:D13"/>
    <mergeCell ref="B33:D33"/>
    <mergeCell ref="E4:F4"/>
    <mergeCell ref="B23:D23"/>
    <mergeCell ref="B24:D24"/>
    <mergeCell ref="B25:D25"/>
    <mergeCell ref="D2:M2"/>
    <mergeCell ref="M4:P4"/>
    <mergeCell ref="G4:H4"/>
    <mergeCell ref="K4:L4"/>
    <mergeCell ref="I4:J4"/>
    <mergeCell ref="B10:D10"/>
    <mergeCell ref="B11:D11"/>
    <mergeCell ref="B19:D19"/>
    <mergeCell ref="B20:D20"/>
    <mergeCell ref="B21:D21"/>
    <mergeCell ref="B22:D22"/>
    <mergeCell ref="B12:D12"/>
    <mergeCell ref="B39:D39"/>
    <mergeCell ref="B47:D47"/>
    <mergeCell ref="B48:D48"/>
    <mergeCell ref="B14:D14"/>
    <mergeCell ref="B15:D15"/>
    <mergeCell ref="B16:D16"/>
    <mergeCell ref="B17:D17"/>
    <mergeCell ref="B32:D32"/>
    <mergeCell ref="B27:D27"/>
    <mergeCell ref="B26:D26"/>
    <mergeCell ref="B28:D28"/>
    <mergeCell ref="B29:D29"/>
    <mergeCell ref="B30:D30"/>
  </mergeCells>
  <phoneticPr fontId="3" type="noConversion"/>
  <pageMargins left="0.39370078740157483" right="0.39370078740157483" top="0.78740157480314965" bottom="0.39370078740157483" header="0.19685039370078741" footer="0.31496062992125984"/>
  <pageSetup paperSize="9" scale="47" fitToWidth="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Звіт про виконання показ фінпла</vt:lpstr>
      <vt:lpstr>Розшифровка 1 до Формування</vt:lpstr>
      <vt:lpstr>Розшифровка 2 до формування</vt:lpstr>
      <vt:lpstr>Розшифровка кап</vt:lpstr>
      <vt:lpstr>Розшифровка за джерелами</vt:lpstr>
      <vt:lpstr>'Звіт про виконання показ фінпла'!Заголовки_для_печати</vt:lpstr>
      <vt:lpstr>'Розшифровка 1 до Формування'!Заголовки_для_печати</vt:lpstr>
      <vt:lpstr>'Розшифровка 2 до формування'!Заголовки_для_печати</vt:lpstr>
      <vt:lpstr>'Розшифровка за джерелами'!Заголовки_для_печати</vt:lpstr>
      <vt:lpstr>'Розшифровка кап'!Заголовки_для_печати</vt:lpstr>
      <vt:lpstr>'Звіт про виконання показ фінпла'!Область_печати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CMtaD</cp:lastModifiedBy>
  <cp:lastPrinted>2023-10-11T08:08:42Z</cp:lastPrinted>
  <dcterms:created xsi:type="dcterms:W3CDTF">2003-03-13T16:00:22Z</dcterms:created>
  <dcterms:modified xsi:type="dcterms:W3CDTF">2023-10-11T08:48:42Z</dcterms:modified>
</cp:coreProperties>
</file>